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u-srv1\лариса леонідівна пк\2021\Внесення змін\рішення сесій 2021 рік\24 сесія 8 скликання\"/>
    </mc:Choice>
  </mc:AlternateContent>
  <bookViews>
    <workbookView xWindow="2805" yWindow="5790" windowWidth="21600" windowHeight="8640"/>
  </bookViews>
  <sheets>
    <sheet name="Лист1" sheetId="1" r:id="rId1"/>
  </sheets>
  <definedNames>
    <definedName name="_xlnm._FilterDatabase" localSheetId="0" hidden="1">Лист1!$A$8:$AZ$280</definedName>
    <definedName name="_xlnm.Print_Area" localSheetId="0">Лист1!$A$1:$J$280</definedName>
  </definedNames>
  <calcPr calcId="162913"/>
</workbook>
</file>

<file path=xl/calcChain.xml><?xml version="1.0" encoding="utf-8"?>
<calcChain xmlns="http://schemas.openxmlformats.org/spreadsheetml/2006/main">
  <c r="I58" i="1" l="1"/>
  <c r="I43" i="1"/>
  <c r="I173" i="1"/>
  <c r="I142" i="1"/>
  <c r="I46" i="1"/>
  <c r="I146" i="1" l="1"/>
  <c r="I144" i="1"/>
  <c r="I157" i="1"/>
  <c r="I143" i="1"/>
  <c r="I131" i="1"/>
  <c r="G132" i="1"/>
  <c r="I132" i="1"/>
  <c r="I175" i="1"/>
  <c r="M153" i="1" l="1"/>
  <c r="I129" i="1"/>
  <c r="I128" i="1" s="1"/>
  <c r="I110" i="1"/>
  <c r="M169" i="1"/>
  <c r="I207" i="1"/>
  <c r="I211" i="1"/>
  <c r="L249" i="1"/>
  <c r="M104" i="1" l="1"/>
  <c r="I96" i="1" l="1"/>
  <c r="L250" i="1" l="1"/>
  <c r="L66" i="1"/>
  <c r="M252" i="1"/>
  <c r="L60" i="1"/>
  <c r="M168" i="1" l="1"/>
  <c r="L40" i="1"/>
  <c r="M42" i="1"/>
  <c r="I49" i="1" l="1"/>
  <c r="M49" i="1" s="1"/>
  <c r="L36" i="1" l="1"/>
  <c r="L214" i="1"/>
  <c r="L209" i="1"/>
  <c r="L207" i="1"/>
  <c r="L191" i="1"/>
  <c r="M84" i="1" l="1"/>
  <c r="L76" i="1"/>
  <c r="L132" i="1" l="1"/>
  <c r="L251" i="1" l="1"/>
  <c r="L199" i="1" l="1"/>
  <c r="L266" i="1" l="1"/>
  <c r="I57" i="1" l="1"/>
  <c r="M57" i="1" s="1"/>
  <c r="I56" i="1"/>
  <c r="G57" i="1" l="1"/>
  <c r="I268" i="1"/>
  <c r="I262" i="1"/>
  <c r="I97" i="1"/>
  <c r="L85" i="1"/>
  <c r="L224" i="1"/>
  <c r="M89" i="1"/>
  <c r="M90" i="1"/>
  <c r="M77" i="1"/>
  <c r="L258" i="1"/>
  <c r="I35" i="1"/>
  <c r="I17" i="1"/>
  <c r="I23" i="1"/>
  <c r="I12" i="1"/>
  <c r="I22" i="1"/>
  <c r="M272" i="1" l="1"/>
  <c r="M264" i="1"/>
  <c r="I277" i="1"/>
  <c r="M9" i="1"/>
  <c r="I20" i="1"/>
  <c r="L236" i="1"/>
  <c r="M236" i="1" s="1"/>
  <c r="I71" i="1"/>
  <c r="I109" i="1"/>
  <c r="L88" i="1"/>
  <c r="I250" i="1"/>
  <c r="M250" i="1" s="1"/>
  <c r="P250" i="1" l="1"/>
  <c r="L253" i="1"/>
  <c r="M26" i="1" l="1"/>
  <c r="M27" i="1"/>
  <c r="L51" i="1" l="1"/>
  <c r="I51" i="1"/>
  <c r="I50" i="1" s="1"/>
  <c r="L135" i="1"/>
  <c r="L193" i="1" l="1"/>
  <c r="M44" i="1" l="1"/>
  <c r="I213" i="1" l="1"/>
  <c r="I258" i="1" l="1"/>
  <c r="G258" i="1" s="1"/>
  <c r="L260" i="1" l="1"/>
  <c r="N260" i="1"/>
  <c r="L137" i="1"/>
  <c r="L39" i="1"/>
  <c r="I40" i="1" l="1"/>
  <c r="M40" i="1" s="1"/>
  <c r="I41" i="1"/>
  <c r="M41" i="1" s="1"/>
  <c r="I209" i="1"/>
  <c r="I34" i="1"/>
  <c r="I48" i="1"/>
  <c r="M48" i="1" s="1"/>
  <c r="I47" i="1"/>
  <c r="M47" i="1" s="1"/>
  <c r="M204" i="1"/>
  <c r="M205" i="1"/>
  <c r="N203" i="1"/>
  <c r="M203" i="1"/>
  <c r="M135" i="1"/>
  <c r="M127" i="1"/>
  <c r="I126" i="1" l="1"/>
  <c r="L69" i="1" l="1"/>
  <c r="L261" i="1"/>
  <c r="M16" i="1"/>
  <c r="L67" i="1" l="1"/>
  <c r="L55" i="1" l="1"/>
  <c r="L238" i="1" l="1"/>
  <c r="L240" i="1"/>
  <c r="I196" i="1" l="1"/>
  <c r="G197" i="1"/>
  <c r="I200" i="1"/>
  <c r="M200" i="1" s="1"/>
  <c r="I137" i="1"/>
  <c r="I167" i="1"/>
  <c r="M167" i="1" s="1"/>
  <c r="I166" i="1"/>
  <c r="M166" i="1" s="1"/>
  <c r="M122" i="1" l="1"/>
  <c r="I195" i="1"/>
  <c r="I194" i="1"/>
  <c r="L83" i="1" l="1"/>
  <c r="L239" i="1" l="1"/>
  <c r="M215" i="1" l="1"/>
  <c r="G215" i="1" l="1"/>
  <c r="M55" i="1"/>
  <c r="M56" i="1"/>
  <c r="M81" i="1"/>
  <c r="M73" i="1"/>
  <c r="M66" i="1"/>
  <c r="M69" i="1"/>
  <c r="M67" i="1"/>
  <c r="M68" i="1"/>
  <c r="M246" i="1"/>
  <c r="M247" i="1"/>
  <c r="M193" i="1"/>
  <c r="L192" i="1" l="1"/>
  <c r="L219" i="1" l="1"/>
  <c r="L173" i="1" l="1"/>
  <c r="I31" i="1" l="1"/>
  <c r="L17" i="1" l="1"/>
  <c r="L79" i="1"/>
  <c r="L228" i="1"/>
  <c r="L78" i="1"/>
  <c r="I141" i="1" l="1"/>
  <c r="I62" i="1"/>
  <c r="M141" i="1" l="1"/>
  <c r="L116" i="1"/>
  <c r="I61" i="1" l="1"/>
  <c r="M97" i="1"/>
  <c r="G98" i="1"/>
  <c r="M98" i="1"/>
  <c r="M88" i="1"/>
  <c r="M62" i="1" l="1"/>
  <c r="I19" i="1"/>
  <c r="M19" i="1" s="1"/>
  <c r="I13" i="1" l="1"/>
  <c r="I36" i="1"/>
  <c r="I37" i="1"/>
  <c r="M37" i="1" s="1"/>
  <c r="I38" i="1"/>
  <c r="M38" i="1" s="1"/>
  <c r="I39" i="1"/>
  <c r="M39" i="1" s="1"/>
  <c r="I70" i="1"/>
  <c r="I10" i="1"/>
  <c r="M36" i="1" l="1"/>
  <c r="I33" i="1"/>
  <c r="L213" i="1"/>
  <c r="L80" i="1" l="1"/>
  <c r="L71" i="1" l="1"/>
  <c r="L259" i="1" l="1"/>
  <c r="L211" i="1" l="1"/>
  <c r="G214" i="1" l="1"/>
  <c r="I214" i="1" s="1"/>
  <c r="I208" i="1"/>
  <c r="G209" i="1"/>
  <c r="M103" i="1"/>
  <c r="M102" i="1"/>
  <c r="I101" i="1"/>
  <c r="I100" i="1" s="1"/>
  <c r="I63" i="1" l="1"/>
  <c r="M64" i="1"/>
  <c r="M14" i="1"/>
  <c r="M217" i="1"/>
  <c r="L162" i="1"/>
  <c r="M119" i="1" l="1"/>
  <c r="M226" i="1" l="1"/>
  <c r="M237" i="1"/>
  <c r="M241" i="1"/>
  <c r="G241" i="1"/>
  <c r="M232" i="1"/>
  <c r="G232" i="1"/>
  <c r="M229" i="1"/>
  <c r="M228" i="1"/>
  <c r="M224" i="1"/>
  <c r="I235" i="1" l="1"/>
  <c r="M235" i="1" s="1"/>
  <c r="I234" i="1"/>
  <c r="M76" i="1"/>
  <c r="M78" i="1"/>
  <c r="L118" i="1"/>
  <c r="M234" i="1" l="1"/>
  <c r="L257" i="1" l="1"/>
  <c r="L255" i="1"/>
  <c r="M221" i="1"/>
  <c r="L256" i="1" l="1"/>
  <c r="M131" i="1" l="1"/>
  <c r="M132" i="1"/>
  <c r="M260" i="1"/>
  <c r="L210" i="1" l="1"/>
  <c r="L31" i="1" l="1"/>
  <c r="M75" i="1"/>
  <c r="M83" i="1"/>
  <c r="M82" i="1"/>
  <c r="M80" i="1"/>
  <c r="M79" i="1"/>
  <c r="L46" i="1"/>
  <c r="L110" i="1" l="1"/>
  <c r="N124" i="1"/>
  <c r="L160" i="1" l="1"/>
  <c r="L212" i="1"/>
  <c r="L92" i="1" l="1"/>
  <c r="L254" i="1" l="1"/>
  <c r="L86" i="1" l="1"/>
  <c r="L208" i="1" l="1"/>
  <c r="L190" i="1" l="1"/>
  <c r="L275" i="1" l="1"/>
  <c r="L93" i="1" l="1"/>
  <c r="L158" i="1" l="1"/>
  <c r="L101" i="1"/>
  <c r="M199" i="1" l="1"/>
  <c r="I210" i="1" l="1"/>
  <c r="I218" i="1" l="1"/>
  <c r="I30" i="1"/>
  <c r="M87" i="1" l="1"/>
  <c r="I275" i="1"/>
  <c r="M245" i="1"/>
  <c r="M244" i="1"/>
  <c r="M243" i="1"/>
  <c r="I163" i="1"/>
  <c r="I164" i="1"/>
  <c r="M164" i="1" s="1"/>
  <c r="I165" i="1"/>
  <c r="M165" i="1" s="1"/>
  <c r="I162" i="1"/>
  <c r="I212" i="1"/>
  <c r="I206" i="1" s="1"/>
  <c r="M213" i="1"/>
  <c r="M214" i="1"/>
  <c r="M121" i="1"/>
  <c r="M126" i="1"/>
  <c r="L125" i="1"/>
  <c r="M125" i="1" s="1"/>
  <c r="M163" i="1" l="1"/>
  <c r="M211" i="1"/>
  <c r="M212" i="1"/>
  <c r="M162" i="1"/>
  <c r="L233" i="1" l="1"/>
  <c r="L94" i="1" l="1"/>
  <c r="L59" i="1" l="1"/>
  <c r="L95" i="1" l="1"/>
  <c r="L277" i="1" l="1"/>
  <c r="M120" i="1" l="1"/>
  <c r="M242" i="1" l="1"/>
  <c r="G242" i="1"/>
  <c r="G240" i="1"/>
  <c r="G239" i="1"/>
  <c r="M239" i="1"/>
  <c r="M240" i="1"/>
  <c r="L159" i="1" l="1"/>
  <c r="L109" i="1" l="1"/>
  <c r="I238" i="1"/>
  <c r="G131" i="1"/>
  <c r="G208" i="1"/>
  <c r="M124" i="1"/>
  <c r="M261" i="1"/>
  <c r="M238" i="1" l="1"/>
  <c r="L10" i="1"/>
  <c r="M254" i="1" l="1"/>
  <c r="M255" i="1"/>
  <c r="M256" i="1"/>
  <c r="M257" i="1"/>
  <c r="M258" i="1"/>
  <c r="M259" i="1"/>
  <c r="M233" i="1"/>
  <c r="M101" i="1"/>
  <c r="L157" i="1"/>
  <c r="M161" i="1" l="1"/>
  <c r="I192" i="1" l="1"/>
  <c r="I138" i="1" s="1"/>
  <c r="M192" i="1" l="1"/>
  <c r="I136" i="1"/>
  <c r="M28" i="1"/>
  <c r="M198" i="1"/>
  <c r="M142" i="1"/>
  <c r="M160" i="1"/>
  <c r="M159" i="1"/>
  <c r="I72" i="1" l="1"/>
  <c r="M86" i="1"/>
  <c r="M85" i="1"/>
  <c r="M208" i="1"/>
  <c r="M209" i="1"/>
  <c r="M210" i="1"/>
  <c r="M95" i="1" l="1"/>
  <c r="I115" i="1" l="1"/>
  <c r="I108" i="1" s="1"/>
  <c r="G44" i="1" l="1"/>
  <c r="M266" i="1" l="1"/>
  <c r="M253" i="1"/>
  <c r="L20" i="1" l="1"/>
  <c r="L146" i="1" l="1"/>
  <c r="L145" i="1"/>
  <c r="L143" i="1"/>
  <c r="M231" i="1" l="1"/>
  <c r="M133" i="1" l="1"/>
  <c r="G191" i="1" l="1"/>
  <c r="G188" i="1"/>
  <c r="G190" i="1"/>
  <c r="G175" i="1"/>
  <c r="M60" i="1" l="1"/>
  <c r="G173" i="1" l="1"/>
  <c r="G159" i="1"/>
  <c r="G158" i="1"/>
  <c r="G157" i="1"/>
  <c r="G140" i="1"/>
  <c r="G143" i="1"/>
  <c r="G144" i="1"/>
  <c r="G145" i="1"/>
  <c r="G146" i="1"/>
  <c r="G139" i="1"/>
  <c r="G52" i="1"/>
  <c r="G53" i="1"/>
  <c r="G54" i="1"/>
  <c r="G45" i="1"/>
  <c r="G46" i="1"/>
  <c r="G34" i="1"/>
  <c r="G32" i="1"/>
  <c r="G31" i="1"/>
  <c r="M271" i="1" l="1"/>
  <c r="M18" i="1"/>
  <c r="G18" i="1"/>
  <c r="M20" i="1"/>
  <c r="M152" i="1" l="1"/>
  <c r="M154" i="1"/>
  <c r="M155" i="1"/>
  <c r="M156" i="1"/>
  <c r="G111" i="1"/>
  <c r="G112" i="1"/>
  <c r="G113" i="1"/>
  <c r="G114" i="1"/>
  <c r="G115" i="1"/>
  <c r="G118" i="1"/>
  <c r="G130" i="1"/>
  <c r="G129" i="1"/>
  <c r="N135" i="1" s="1"/>
  <c r="G147" i="1"/>
  <c r="G148" i="1"/>
  <c r="G149" i="1"/>
  <c r="G150" i="1"/>
  <c r="G152" i="1"/>
  <c r="G153" i="1" s="1"/>
  <c r="G154" i="1"/>
  <c r="G155" i="1"/>
  <c r="G156" i="1"/>
  <c r="G172" i="1"/>
  <c r="G174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9" i="1"/>
  <c r="G263" i="1"/>
  <c r="G270" i="1"/>
  <c r="G269" i="1"/>
  <c r="M35" i="1"/>
  <c r="G101" i="1" l="1"/>
  <c r="M17" i="1" l="1"/>
  <c r="G223" i="1" l="1"/>
  <c r="G225" i="1"/>
  <c r="G227" i="1"/>
  <c r="G230" i="1"/>
  <c r="G72" i="1" l="1"/>
  <c r="G70" i="1"/>
  <c r="G67" i="1"/>
  <c r="L7" i="1" l="1"/>
  <c r="M12" i="1" l="1"/>
  <c r="M270" i="1" l="1"/>
  <c r="M269" i="1"/>
  <c r="M230" i="1"/>
  <c r="M227" i="1"/>
  <c r="M277" i="1" l="1"/>
  <c r="I276" i="1"/>
  <c r="M117" i="1"/>
  <c r="M274" i="1" l="1"/>
  <c r="M275" i="1"/>
  <c r="M263" i="1"/>
  <c r="I92" i="1" l="1"/>
  <c r="I65" i="1" s="1"/>
  <c r="M191" i="1" l="1"/>
  <c r="M190" i="1"/>
  <c r="M158" i="1"/>
  <c r="M189" i="1"/>
  <c r="M188" i="1"/>
  <c r="M157" i="1"/>
  <c r="M225" i="1"/>
  <c r="I273" i="1"/>
  <c r="M118" i="1"/>
  <c r="M273" i="1" l="1"/>
  <c r="M262" i="1"/>
  <c r="M251" i="1"/>
  <c r="M249" i="1"/>
  <c r="M96" i="1" l="1"/>
  <c r="L179" i="1" l="1"/>
  <c r="M179" i="1" s="1"/>
  <c r="L178" i="1"/>
  <c r="M178" i="1" s="1"/>
  <c r="L185" i="1"/>
  <c r="M185" i="1" s="1"/>
  <c r="L183" i="1"/>
  <c r="M183" i="1" s="1"/>
  <c r="L177" i="1"/>
  <c r="M177" i="1" s="1"/>
  <c r="L186" i="1"/>
  <c r="M186" i="1" s="1"/>
  <c r="L176" i="1"/>
  <c r="L182" i="1"/>
  <c r="M182" i="1" s="1"/>
  <c r="L180" i="1"/>
  <c r="M180" i="1" s="1"/>
  <c r="M11" i="1"/>
  <c r="M13" i="1"/>
  <c r="M22" i="1"/>
  <c r="M23" i="1"/>
  <c r="M25" i="1"/>
  <c r="M31" i="1"/>
  <c r="M32" i="1"/>
  <c r="M34" i="1"/>
  <c r="M45" i="1"/>
  <c r="M46" i="1"/>
  <c r="M51" i="1"/>
  <c r="M52" i="1"/>
  <c r="M53" i="1"/>
  <c r="M54" i="1"/>
  <c r="M59" i="1"/>
  <c r="M70" i="1"/>
  <c r="M71" i="1"/>
  <c r="M72" i="1"/>
  <c r="M74" i="1"/>
  <c r="M93" i="1"/>
  <c r="M94" i="1"/>
  <c r="M106" i="1"/>
  <c r="M110" i="1"/>
  <c r="M111" i="1"/>
  <c r="M112" i="1"/>
  <c r="M113" i="1"/>
  <c r="M114" i="1"/>
  <c r="M115" i="1"/>
  <c r="M116" i="1"/>
  <c r="M129" i="1"/>
  <c r="M130" i="1"/>
  <c r="M139" i="1"/>
  <c r="M140" i="1"/>
  <c r="M143" i="1"/>
  <c r="M144" i="1"/>
  <c r="M145" i="1"/>
  <c r="M146" i="1"/>
  <c r="M147" i="1"/>
  <c r="M148" i="1"/>
  <c r="M149" i="1"/>
  <c r="M150" i="1"/>
  <c r="M151" i="1"/>
  <c r="M172" i="1"/>
  <c r="M173" i="1"/>
  <c r="M174" i="1"/>
  <c r="M175" i="1"/>
  <c r="M181" i="1"/>
  <c r="M184" i="1"/>
  <c r="M187" i="1"/>
  <c r="M197" i="1"/>
  <c r="M219" i="1"/>
  <c r="M223" i="1"/>
  <c r="L107" i="1" l="1"/>
  <c r="M176" i="1"/>
  <c r="M207" i="1" l="1"/>
  <c r="I222" i="1" l="1"/>
  <c r="I220" i="1" s="1"/>
  <c r="G222" i="1" l="1"/>
  <c r="M222" i="1"/>
  <c r="M137" i="1" l="1"/>
  <c r="M92" i="1"/>
  <c r="I105" i="1"/>
  <c r="I24" i="1" l="1"/>
  <c r="M24" i="1" s="1"/>
  <c r="M10" i="1" l="1"/>
  <c r="I107" i="1" l="1"/>
  <c r="M107" i="1" s="1"/>
  <c r="M109" i="1"/>
  <c r="I21" i="1" l="1"/>
  <c r="I8" i="1" s="1"/>
  <c r="I7" i="1" l="1"/>
  <c r="I278" i="1" s="1"/>
  <c r="M21" i="1"/>
  <c r="M7" i="1" l="1"/>
</calcChain>
</file>

<file path=xl/sharedStrings.xml><?xml version="1.0" encoding="utf-8"?>
<sst xmlns="http://schemas.openxmlformats.org/spreadsheetml/2006/main" count="654" uniqueCount="368">
  <si>
    <t>Додаток 6</t>
  </si>
  <si>
    <t>РОЗПОДІЛ</t>
  </si>
  <si>
    <t>×</t>
  </si>
  <si>
    <t>Код Функціональної класифікації видатків та кредитування бюджету</t>
  </si>
  <si>
    <t>0117650</t>
  </si>
  <si>
    <t>0490</t>
  </si>
  <si>
    <t>Проведення експертної грошової оцінки земельних ділянок комунальної власності по вул. м.Буча</t>
  </si>
  <si>
    <t>Х</t>
  </si>
  <si>
    <t>0110150</t>
  </si>
  <si>
    <t>01 Бучанська міська рада</t>
  </si>
  <si>
    <t>Капітальні видатки (придбання предметів довгострокового використання)</t>
  </si>
  <si>
    <t>0116030</t>
  </si>
  <si>
    <t>За рахунок коштів бюджету розвитку</t>
  </si>
  <si>
    <t>Проведення експертної грошової оцінки земельної ділянки чи права на неї</t>
  </si>
  <si>
    <t>Передача коштів із ЗФ до СФ</t>
  </si>
  <si>
    <t>0150</t>
  </si>
  <si>
    <t>0111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</si>
  <si>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</si>
  <si>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0620</t>
  </si>
  <si>
    <t>Організація благоустрою населених пунктів</t>
  </si>
  <si>
    <t>0456</t>
  </si>
  <si>
    <t xml:space="preserve">ВСЬОГО </t>
  </si>
  <si>
    <t>0180</t>
  </si>
  <si>
    <t>0617321</t>
  </si>
  <si>
    <t>0443</t>
  </si>
  <si>
    <t>0117441</t>
  </si>
  <si>
    <t>Утримання та розвиток мостів/шляхопроводів</t>
  </si>
  <si>
    <t>Капітальний ремонт огорожі комунальної власності по вул.Польова в м.Буча Київської області</t>
  </si>
  <si>
    <t>0117322</t>
  </si>
  <si>
    <t>0117370</t>
  </si>
  <si>
    <t>Реалізація інших заходів щодо соціально-економічного розвитку територій</t>
  </si>
  <si>
    <t>0116011</t>
  </si>
  <si>
    <t>0610</t>
  </si>
  <si>
    <t>Експлуатація та технічне обслуговування житлового фонду</t>
  </si>
  <si>
    <t xml:space="preserve">Капітальний ремонт покрівлі житлового будинку комунальної власності по вул. Героїв Майдану,10  в м.Буча Київської області </t>
  </si>
  <si>
    <t xml:space="preserve">Капітальний ремонт покрівлі житлового будинку комунальної власності по вул. Героїв Майдану,15  в м.Буча Київської області </t>
  </si>
  <si>
    <t>0119750</t>
  </si>
  <si>
    <t>0119770</t>
  </si>
  <si>
    <t>Інші субвенції з місцевого бюджету</t>
  </si>
  <si>
    <t>Капітальний ремонт дороги комунальної власності по вул.Проектна №1 (від а/д Т 10-01 до вул.Промислова) в м.Буча Київської області (співфінансування)</t>
  </si>
  <si>
    <t xml:space="preserve">Підтримка громадських проектів (Громадський бюджет) </t>
  </si>
  <si>
    <t>Будівництво амбулаторії загальної практики сімейної медицини  комунальної власності по вул.Травневій, 66 в смт.Бабинці Київської області (співфінансування)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</si>
  <si>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</si>
  <si>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</si>
  <si>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 xml:space="preserve">Техніко – економічне обґрунтування будівництва автомобільної дороги між А/Д М-07 Київ – Ковель до А/Д Гостомель – Берестянка - Мирча </t>
  </si>
  <si>
    <t>Капітальний ремонт "Навчально-виховний комплекс "Синяківський хіміко-технологічний ліцей закладу загальноосвітньої середньої освіти І-ІІ ступенів" Київської області</t>
  </si>
  <si>
    <t>капітальний ремонт дороги комунальної власності з тротуаром по вул.Горького (від вул.Депутатська до №6) в м.Буча Київської області (співфінансування)</t>
  </si>
  <si>
    <t>Будівництво освітніх установ та закладів</t>
  </si>
  <si>
    <t>Виготовлення проектно-кошторисної документації об"єкту "Будівництво амбулаторії загальної практики сімейної медицини комунальної власності по вул.Травневій,66 в смт.Бабинці Бучанської міської територіальної громади Київської області</t>
  </si>
  <si>
    <t>0112080</t>
  </si>
  <si>
    <t>0721</t>
  </si>
  <si>
    <t>Амбулаторно-поліклінічна допомога населенню, крім первинної медичної допомоги</t>
  </si>
  <si>
    <t>Будівництво дошкільного дитячого закладу на 75 місць в с.Бабинці Київської області (співфінансування)</t>
  </si>
  <si>
    <t>0990</t>
  </si>
  <si>
    <t>0611200</t>
  </si>
  <si>
    <t>0117363</t>
  </si>
  <si>
    <t>Виконання інвестиційних проектів в рамках здійснення заходів щодо соціально-економічного розвитку окремих територій</t>
  </si>
  <si>
    <t>Реконструкція майданчика водопровідних споруд із застосуванням новітних технологій та встановленням обладнання з очистки та знезалізнення  питної води за адресою: Київська область, с. Гаврилівка, вул. Соснова, 2</t>
  </si>
  <si>
    <t>0116040</t>
  </si>
  <si>
    <t>Заходи, пов’язані з поліпшенням питної води</t>
  </si>
  <si>
    <t>0621</t>
  </si>
  <si>
    <t>Реконструкція майданчика водопровідних споруд із застосуванням новітних технологій та встановленням обладнання з очистки та знезалізнення  питної води за адресою: Київська область, с. Гаврилівка, вул. Соснова, 2 за рахунок співфінансування</t>
  </si>
  <si>
    <t xml:space="preserve">Надання освіти за рахунок субвенції з державного бюджету місцевим бюджетам на надання державної підтримки особам з особливими освітніми потребами </t>
  </si>
  <si>
    <t>Будівництво медичних установ та закладів</t>
  </si>
  <si>
    <t>0617368</t>
  </si>
  <si>
    <t xml:space="preserve">Виконання інвестиційних проектів за рахунок субвенцій з інших бюджетів </t>
  </si>
  <si>
    <t>Капітальний ремонт дороги комунальної власності по вул Назарія Яремчука (від вул Івана Кожедуба до вул. Яблунська) в м.Буча Київської області (співфінансування)</t>
  </si>
  <si>
    <t>0160</t>
  </si>
  <si>
    <t>1010160</t>
  </si>
  <si>
    <t>Керівництво і управління у відповідній сфері у містах (місті Києві), селищах, селах, територіальних громадах</t>
  </si>
  <si>
    <t>Капітальний ремонт приміщень відділу культури, національностей та релігій Бучанської міської ради за адресою :м.Буча, вул. Героїв Майдану,15</t>
  </si>
  <si>
    <t xml:space="preserve">10 Відділ культури, національностей та релігій Бучанської міської ради </t>
  </si>
  <si>
    <t xml:space="preserve">06 Відділ освіти Бучанської міської ради </t>
  </si>
  <si>
    <t xml:space="preserve">Секретар ради       ______________________________________________________________________________ Тарас ШАПРАВСЬКИЙ                                           </t>
  </si>
  <si>
    <t>Каса</t>
  </si>
  <si>
    <t xml:space="preserve">01 КП "Бучабудзамовник"Бучанської міської ради </t>
  </si>
  <si>
    <t xml:space="preserve">01 КП "Бучазеленбуд" Бучанської міської ради </t>
  </si>
  <si>
    <t>Розробка техніко - економічного обґрунтування проектної документації "Будівництво підземного автомобільного переїзду в районі  залізничної станції міста Буча"</t>
  </si>
  <si>
    <t>0112111</t>
  </si>
  <si>
    <t>Первинна медична допомога населенню, що надається центрами первинної медичної (медико-санітарної) допомоги</t>
  </si>
  <si>
    <t>0726</t>
  </si>
  <si>
    <t>Розробка робочої документації "Проект з експериментального будівництва об'єкту інженерно - транспортної інфраструктури, а саме: пішохідного шляхопроводу тунельного типу під залізничними коліями станції м. Буча з виходом до пасажирської платформи залізничного вокзалу без перерви руху залізничного транспорту"</t>
  </si>
  <si>
    <t xml:space="preserve">11 Відділ молоді та спорту Бучанської міської ради </t>
  </si>
  <si>
    <t>1115041</t>
  </si>
  <si>
    <t>Утримання та фінансова підтримка спортивних споруд</t>
  </si>
  <si>
    <t>0810</t>
  </si>
  <si>
    <t xml:space="preserve">37 Фінансове управління Бучанської міської ради </t>
  </si>
  <si>
    <t>1014060</t>
  </si>
  <si>
    <t>Забезпечення діяльності палаців i будинків культури, клубів, центрів дозвілля та iнших клубних закладів</t>
  </si>
  <si>
    <t>0828</t>
  </si>
  <si>
    <t xml:space="preserve">Капітальні видатки (придбання предметів довгострокового використання) </t>
  </si>
  <si>
    <t>Придбання комплекту охоронної сигналізації для Будинків культури Бучанської міської територіальної громади (м.Буча,вул.Яблунська,15;с.Гаврилівка,вул. Свято - Троїцька,6)</t>
  </si>
  <si>
    <t>0118230</t>
  </si>
  <si>
    <t>Інші заходи громадського порядку та безпеки</t>
  </si>
  <si>
    <t>0380</t>
  </si>
  <si>
    <t>01 КП «Бучасервіс» Бучанської міської ради</t>
  </si>
  <si>
    <t>01  КП «Бучасервіс» Бучанської міської ради</t>
  </si>
  <si>
    <t xml:space="preserve">Авторський нагляд по об’єкту: « Реконструкція майданчика водопровідних споруд із застосуванням новітніх технологій та встановленням обладнання з очистки та знезалізнення  питної води за адресою: Київська область, с. Гаврилівка, вул. Соснова, 2» </t>
  </si>
  <si>
    <t xml:space="preserve">Технічний нагляд по об’єкту: « Реконструкція майданчика водопровідних споруд із застосуванням новітніх технологій та встановленням обладнання з очистки та знезалізнення  питної води за адресою: Київська область, с. Гаврилівка, вул. Соснова, 2» </t>
  </si>
  <si>
    <t>Коригування проектно- кошторисної документації по об’єкту : «Реконструкція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область м. Буча, вул. Тарасівська, 14-а»</t>
  </si>
  <si>
    <t>розкидувач сівалка</t>
  </si>
  <si>
    <t>Рекнострукція існуючої мережі водпостачання комунальної власності по вул.Михайленка в с.Гаврилівка Київської області</t>
  </si>
  <si>
    <t>Проектна документація "Капітальний ремонт зупинкових майданчиків між вул.Нова та а/д Т 1011 в с.Здвижівка Київської області"</t>
  </si>
  <si>
    <t>Проектна документація "Будівництво дитячого майданчика між вул. Лісова та вул. Незалежності в с.Буда-Бабинецька Київської області"</t>
  </si>
  <si>
    <t>Проектна документація "Реконструкція дитячого майданчика по вул. Незалежності поряд з 21 б в с.Буда-Бабинецька Київської області"</t>
  </si>
  <si>
    <t>Проектна документація "Рекнострукція існуючої мережі водпостачання комунальної власності по вул.Михайленка в с.Гаврилівка Київської області"</t>
  </si>
  <si>
    <t>Проектна документація "Капітальний ремонт системи водовідведення по вул.Свято - Троїцька в с.Гаврилівка Київської області"</t>
  </si>
  <si>
    <t>Проектна документація "Капітальний ремонт системи водовідведення по вул.Петровського (біля №16) в с.Блиставиця Київської області"</t>
  </si>
  <si>
    <t>Проектна документація "Капітальний ремонт дороги комунальної власності між вул.Яблунська та а/д Т 10-01 в м.Буча Київської області"</t>
  </si>
  <si>
    <t>Проектна документація "Капітальний ремонт дороги комунальної власності по вул.Проектна №3 в м.Буча Київської області "</t>
  </si>
  <si>
    <t>Проектна документація "Капітальний ремонт дороги комунальної власності між вул. Лесі Українки та бульвару Б.Хмельницького в м.Буча Київської області.Коригування"</t>
  </si>
  <si>
    <t>Проектна документація "Капітальний ремонт тротуару комунальної власності між бульваром Б.Хмельницького та вул.Вишнева в м.Буча Київської області"</t>
  </si>
  <si>
    <t>Проектна документація "Реконструкція дороги комунальної власності по вул.Польова від вул.Енергетиків в м.Буча Київської області"</t>
  </si>
  <si>
    <t>Проектна документація "Капітальний ремонт доріг комунальної властності в межах вул. І.Руденко,М.Мурашка, сім'ї Забарило із влаштуванням кільцевої транспортної розв'язки по бул.Б.Хмельницького із під'їздом до центру надання соцільних послуг "Прозорий офіс" в м.Буча Київської області"</t>
  </si>
  <si>
    <t>0110180</t>
  </si>
  <si>
    <t xml:space="preserve">01 Архівний відділ Бучанської міської ради </t>
  </si>
  <si>
    <t>Інша діяльність у сфері державного управління</t>
  </si>
  <si>
    <t>0133</t>
  </si>
  <si>
    <t>Будівництво інших об`єктів комунальної власності</t>
  </si>
  <si>
    <t>0117330</t>
  </si>
  <si>
    <t>Придбання у комунальну власність 58/100 частки нежитлової двоповерхової адміністративної будівлі, що розташована за адресою: Київська область, с. Блиставиця, вулиця Ярослава Мудрого,1</t>
  </si>
  <si>
    <t>Придбання у комунальну власність Бучанської міської територіальної громади нежитлових приміщень  156 та 157 за адресою м.Буча, вул.К.Білокур, буд.1-а для розміщення амбулаторії сімейного типу</t>
  </si>
  <si>
    <t>Капітальний ремонт прибудинкової території житловго будинку комунальної власності по вул.Садова,7 в с.Гаврилівка Київської області</t>
  </si>
  <si>
    <t>Капітальний ремонт прибудинкової території житловго будинку комунальної власності по вул.Садова,12 в с.Гаврилівка Київської області</t>
  </si>
  <si>
    <t>Капітальний ремонт прибудинкової території житловго будинку комунальної власності по вул.Садова,16 в с.Гаврилівка Київської області</t>
  </si>
  <si>
    <t>Капітальний ремонт прибудинкової території житловго будинку комунальної власності по вул.Садова,18 в с.Гаврилівка Київської області</t>
  </si>
  <si>
    <t>Проектна документація "Капітальний ремонт прибудинкової території житловго будинку комунальної власності по вул.Садова,18 в с.Гаврилівка Київської області"</t>
  </si>
  <si>
    <t>Проектна документація "Капітальний ремонт прибудинкової території житловго будинку комунальної власності по вул.Садова,16 в с.Гаврилівка Київської області"</t>
  </si>
  <si>
    <t>Проектна документація "Капітальний ремонт прибудинкової території житловго будинку комунальної власності по вул.Садова,12 в с.Гаврилівка Київської області"</t>
  </si>
  <si>
    <t>Проектна документація "Капітальний ремонт прибудинкової території житловго будинку комунальної власності по вул.Садова,7 в с.Гаврилівка Київської області"</t>
  </si>
  <si>
    <t>Проектна документація "Капітальний ремонт дороги з тротуаром комунальної власності по провул.Євгена Гребінки в м.Буча Київської областіі"</t>
  </si>
  <si>
    <t>Проектна документація "Капітальний ремонт дороги комунальної власності по вул.Гоголя (від вул.Антонія Михайловського до вул.Інституська) в м.Буча Київської області.Коригування"</t>
  </si>
  <si>
    <t>Проектна документація "Капітальний ремонт дороги комунальної власності по вул.Інституська (від вул.Тургенєва до вул.Революції) в м.Буча Київської області.Коригування"</t>
  </si>
  <si>
    <t>Проектна документація " Капітальний ремонт дороги комунальної власності з тротуаром по вул. Горького (від вул. Депутатська до №6 ) в м. Буча Київської області"</t>
  </si>
  <si>
    <t>Проектна документація "Капітальний ремонт дороги комунальної власності по вул.Виноградна в м.Буча Київської області "</t>
  </si>
  <si>
    <t>Капітальний ремонт спеціалізованого автомобіля та встановлення додаткового обладнання (бункер-піскорозкидач в комплекті із запчастинами)</t>
  </si>
  <si>
    <t>Проектна документація "Будівництво зупиок громадського транспорту біля ЖК "Forest Land" в м.Буча Київської області"</t>
  </si>
  <si>
    <t>0617366</t>
  </si>
  <si>
    <t>Реалізація проектів в рамках Надзвичайної кредитної програми для відновлення України</t>
  </si>
  <si>
    <t>Залишок плану</t>
  </si>
  <si>
    <t xml:space="preserve"> Logica номерація об'єктів</t>
  </si>
  <si>
    <t>За рахунок субвенції</t>
  </si>
  <si>
    <t>Розробка проектної документації по об’єкту «Будівництво адміністративної будівлі для облаштування приміщень ЦНАП у с.Синяк, Бучанської міської об’єднаної територіальної громади, Київської області по вул.Київська» (нове будівництво)»</t>
  </si>
  <si>
    <t xml:space="preserve">08 Управління соціальної політики Бучанської міської ради </t>
  </si>
  <si>
    <t>0817323</t>
  </si>
  <si>
    <t>Будівництво установ та закладів соціальної сфери</t>
  </si>
  <si>
    <t>1110160</t>
  </si>
  <si>
    <t>Капітальний ремонт дороги комунальної власності по вул.Гоголя (від вул.Києво - Мироцька до вул. Старояблунська) в м.Буча Київської області</t>
  </si>
  <si>
    <t>Капітальний ремонт огорожі кладовища комунальної власності по вул.Депутатська в м.Буча Київської області</t>
  </si>
  <si>
    <t>Капітальний ремонт тротуару комунальної власності між бульв.Б.Хмельницького та вул. Вишнева в м.Буча Київської області</t>
  </si>
  <si>
    <t>Капітальний ремонт дороги комунальної власності по пров.Санаторний ( від вул.Польова до пров.Героїв Майдану) в м.Буча Київської області</t>
  </si>
  <si>
    <t>Будівництво автомобільної дороги комунальної власності між автомобільною дорогою М-07 Київ-Ковель-Ягодин та вул.Польова в с.Мироцьке Київської області  (співфінансування)</t>
  </si>
  <si>
    <t>Капітальний ремонт мереж вуличного освітлення комунальної власності по вул.Ватутіна (від вул.Шевченко до вул.Михайловського) в м.Буча Київської області</t>
  </si>
  <si>
    <t>Капітальний ремонт дороги комунальної властності між вул. Лесі Українки та бульв. Б.Хмельницького в м.Буча Київської області. Додаткові роботи</t>
  </si>
  <si>
    <t xml:space="preserve">Технічний нагляд по об’єкту: « Капітальний ремонт дороги комунальної властності між вул. Лесі Українки та бульв. Б.Хмельницького в м.Буча Київської області. Додаткові роботи» </t>
  </si>
  <si>
    <t>Розробка проектно-кошторисної документації на проведення капітального ремонту "Капітальний ремонт приміщення спортивної зали в Будинку культури «Полісся» в с. Гаврилівка Київської області"</t>
  </si>
  <si>
    <t>Виготовлення проектно-кошторисної документації по об'єкту будівництву "Реконструкція Бучанського навчального-виховного комплексу "Спеціалізована загальноосвітня школа І-ІІІ ступенів - загальноосвітня школа І-ІІІ" №2 по вул.Шевченка,14 в м. Буча Київської області"</t>
  </si>
  <si>
    <t>Виготовлення проектно-кошторисної документації стадії "РП" розділу "Електропостачання" для об'єкту: "Електропостачання.Будівництво дошкільного дитячого закладу на 144 місця по вул.Лесі Українки в м.Буча Київської області"</t>
  </si>
  <si>
    <t>Коригування кошторисної частини проектно-кошторисної документації по об'єкту "Реконструкція адміністративної будівлі з прибудовою вхідної групи по бульвару Б.Хмельницького,5/5А,м.Буча, Київської області"</t>
  </si>
  <si>
    <t>0116082</t>
  </si>
  <si>
    <t>Придбання житла для окремих категорій населення відповідно до законодавства</t>
  </si>
  <si>
    <t>Придбання у комунальну власність житла для надання в тимчасове користування внутрішньо переміщеним особам ( співфінансування 30%)</t>
  </si>
  <si>
    <t>Будівництво дошкільного дитячого закладу на 144 місця по вул.Лесі Українки в м.Буча Київської області.Коригування</t>
  </si>
  <si>
    <t xml:space="preserve">Будівництво дошкільного дитячого закладу на 144 місця по вул.Лесі Українки в м.Буча Київської області.Коригування </t>
  </si>
  <si>
    <t>Розробка проектної документації по об’єкту "Реконструкція адміністративної будівлі за адресою: Київської області, с.Блиставиця, вул. Ярослва мудрого, буд.1-А"</t>
  </si>
  <si>
    <t>Розроблення проектно-кошторисної документації по об"єкту "Капітальний ремонт озеленення із влаштуванням  автоматичного поливу парку  козацького побуту в межах вулиць Шевченка та Тургенєва в м.Буча Київської області"</t>
  </si>
  <si>
    <t>Розроблення проектно-кошторисної документації по об"єкту "Капітальний ремонт озеленення з облаштування майданчиків та влаштування системи автоматичного поливу біля озера у Бучанському міському парку в м.Буча Київської області"</t>
  </si>
  <si>
    <t>Капітальний ремонт  освітлення скейт-парку у Бучанському міському парку в м.Буча Київської області</t>
  </si>
  <si>
    <t>Реконструкція фонтану на Київській площи в м.Буча Київської області</t>
  </si>
  <si>
    <t xml:space="preserve">Виготовлення проектно – кошторисної документації по об’єкту «Реконструкція дороги по вул. Нове Шосе (від вул. Шевченка до А/Д Т10-01 Ворзель – Забуччя) в м.Буча Київської області» </t>
  </si>
  <si>
    <t xml:space="preserve">Виготовлення проектно – кошторисної документації по об’єкту «Реконструкція дороги з тротуаром по вул. Шевченка (від №2 до вул. Нове Шосе) в м.Буча Київської області» </t>
  </si>
  <si>
    <t>0800000</t>
  </si>
  <si>
    <t>0600000</t>
  </si>
  <si>
    <t>0100000</t>
  </si>
  <si>
    <t>1100000</t>
  </si>
  <si>
    <t>1000000</t>
  </si>
  <si>
    <t>Рівень виконання робіт на почтаок бюджетного періоду, %</t>
  </si>
  <si>
    <t>X</t>
  </si>
  <si>
    <t>Рівень готовності об'єкта на кінець бюджетного періоду, %</t>
  </si>
  <si>
    <t>коштів бюджету розвитку на здійснення заходів на будівництво, реконструкцію і реставрацію, капітальний ремонт об'єктів виробничої, комунікаційної та соціальної інфраструктури за об'єктами у 2021 році</t>
  </si>
  <si>
    <t>2021-2022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</si>
  <si>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</si>
  <si>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</si>
  <si>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</si>
  <si>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об’єкта будівництва/вид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</si>
  <si>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</si>
  <si>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</si>
  <si>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Обсяг видатків бюджету розвитку, які спрямовуються на будівництво об"єкта у бюджетному періоді, гривень</t>
  </si>
  <si>
    <t>0117361</t>
  </si>
  <si>
    <t>Співфінансування інвестиційних проектів, що реалізуються за рахунок коштів державного фонду регіонального розвитку</t>
  </si>
  <si>
    <t xml:space="preserve">Коригування проектно- кошторисної документації по об’єкту : «Реконструкція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область м. Буча, вул. Склозаводська, 12-б» </t>
  </si>
  <si>
    <t>Реконструкція з добудовою загальноосвітньої школи №1 І-ІІІ ступенів по вул. Малиновського,74 в м.Буча Київської області. Коригування (співфінансування)</t>
  </si>
  <si>
    <t>Будівництво футбольного поля із штучним покриттям та біговою доріжкою на території ЗОШ №6, по вул.Соборна,27 в с.Блиставиця, Київської області</t>
  </si>
  <si>
    <t xml:space="preserve">Будівництво дошкільного закладу на 144 місця по вул. Лесі Українки в м.Буча Київської області. Коригування </t>
  </si>
  <si>
    <t>Виготовлення проектно-кошторисної документації по "Будівництву дошкільного дитячого закладу на 75 місць в с.Бабинці Київської області"</t>
  </si>
  <si>
    <t>Виготовлення проектно-кошторисної документації по об'єкту ництву "Капітальний ремонт приміщень Бучанського навчального-виховного комплексу "Спеціалізована загальноосвітня школа І-ІІІ ступенів - загальноосвітня школаІ-ІІІ" №2 по вул.Шевченка,14 в м. Буча Київської області"</t>
  </si>
  <si>
    <t>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</t>
  </si>
  <si>
    <t xml:space="preserve">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даху).Коригування. </t>
  </si>
  <si>
    <t>Реконструкція з добудовою загальноосвітньої школи №1 І-ІІІ ступенів по вул. Малиновського,74 в м.Буча Київської області.Коригування</t>
  </si>
  <si>
    <t xml:space="preserve">Проведення технічного обстеження по об'єкту  «Реконструкція Бучанського навчального-виховного комплексу "Спеціалізована загальноосвітня школа І-ІІІ ступенів - загальноосвітня школа І-ІІІ" №2 по вул.Шевченка,14 в м. Буча Київської області»  </t>
  </si>
  <si>
    <t>6360</t>
  </si>
  <si>
    <t>1014030</t>
  </si>
  <si>
    <t>Забезпечення діяльності бібліотек</t>
  </si>
  <si>
    <t>0824</t>
  </si>
  <si>
    <t>2021-2023</t>
  </si>
  <si>
    <t>Капітальний ремонт приміщення амбулаторії загальної практики-сімейної медицини комунальної власності (утеплення фасадів та заміна вікон) по вул. Європейська № 4-Д в сел. Ворзель, Київської області</t>
  </si>
  <si>
    <t xml:space="preserve"> придбання легкових автомобілів</t>
  </si>
  <si>
    <t xml:space="preserve">Проходження державної експертизи проектно-кошторисної документації по об'єкту   «Капітальний ремонт щодо покращення енергозбереження будівлі Бучанської загальноосвітня школа І-ІІІ №3 по вул.Вокзальна,46А в м. Буча Київської області. Коригування»  </t>
  </si>
  <si>
    <t>підмітально-прибиральну установку Брод Скандія</t>
  </si>
  <si>
    <t>багатофункціональні пристрої, придбання легкових автомобілів,комп.</t>
  </si>
  <si>
    <t>реверсний мотоблок в комплекті з насівним обладненням,косарки бензинові</t>
  </si>
  <si>
    <t>проектор</t>
  </si>
  <si>
    <t>автомобіль</t>
  </si>
  <si>
    <t>0617363</t>
  </si>
  <si>
    <t>0817363</t>
  </si>
  <si>
    <t>Реконструкція адміністративної будівлі з прибудовою вхідної групи по бул. Б. Хмельницького, 5/5а, м. Буча, Київської області</t>
  </si>
  <si>
    <t xml:space="preserve">Капітальний ремонт туалетних приміщень в Комунальному закладі « Синяківський хіміко-технологічний ліцей- заклад загальної середньої освіти I-II ступенів» №15 в с. Синяк, Київської області </t>
  </si>
  <si>
    <t>0611061</t>
  </si>
  <si>
    <t>0921</t>
  </si>
  <si>
    <t>Надання загальної середньої освіти закладами загальної середньої освіти</t>
  </si>
  <si>
    <t xml:space="preserve">Капітальний ремонт туалетних приміщень в Комунальному закладі « Луб'янський заклад загальної середньої освіти I-II ступенів» №7 в с. Луб'янка, Київської області </t>
  </si>
  <si>
    <t xml:space="preserve">Капітальний ремонт туалетних приміщень в Комунальному закладі « Бабинецький заклад загальної середньої освіти I-III ступенів» № 13 в смт. Бабинці Київської області </t>
  </si>
  <si>
    <t xml:space="preserve">Капітальний ремонт туалетних приміщень в Комунальному закладі « Ворзельський заклад загальної середньої освіти I-III ступенів №10» Бучанської міської ради Київської області </t>
  </si>
  <si>
    <t xml:space="preserve">Капітальний ремонт туалетних приміщень в Комунальному закладі « Блиставицький заклад загальної середньої освіти I-III ступенів №6» Бучанської міської ради </t>
  </si>
  <si>
    <t xml:space="preserve">Капітальний ремонт туалетних приміщень в Комунальному закладі « Гаврилівський заклад загальної середньої освіти I-III ступенів №8» Бучанської міської ради </t>
  </si>
  <si>
    <t>Реконструкція фонтану, що розташований в межах дитячої зони в Бучанському міському парку в м. Буча Київської області</t>
  </si>
  <si>
    <t>Будівництво спортивного блоку в комплексі з будівлями загальноосвітньої школи № 2 по вул.Шевченка, 14 в м. Буча (Коригування)</t>
  </si>
  <si>
    <t xml:space="preserve">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 </t>
  </si>
  <si>
    <t>Капітальний ремонт благоустрою території комунальної власності по вул. Польова в м. Буча Київської області</t>
  </si>
  <si>
    <t>Капітальний ремонт-озеленення по вул. Київська в с. Синяк Бучанського району Київської області</t>
  </si>
  <si>
    <t xml:space="preserve">Виготовлення проектно-кошторисної документації по об'єкту 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  </t>
  </si>
  <si>
    <t xml:space="preserve">Технічний нагляд по об’єкту  «Капітальний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  </t>
  </si>
  <si>
    <t>Авторський нагляд по об’єкту  «Капітальний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</t>
  </si>
  <si>
    <t>Авторський нагляд по об’єкту  "Реконструкція з добудовою загальноосвітньої школи №1 І-ІІІ ступенів по вул.Малиновського,74 в м.Буча Київської області. Коригування"</t>
  </si>
  <si>
    <t>Технічний нагляд по об’єкту  « 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даху).Коригування.»</t>
  </si>
  <si>
    <t xml:space="preserve">Авторський нагляд по об’єкту « 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даху).Коригування.» </t>
  </si>
  <si>
    <t>Виготовлення проектно – кошторисної документації по об’єкту «Будівництво дошкільного дитячого закладу на 144 місця по вул. Лесі Українки в м. Буча Київської області.(Робочі креслення)»</t>
  </si>
  <si>
    <t xml:space="preserve">Технічний нагляд по об’єкту «Будівництво дошкільного дитячого закладу на 144 місця по вул. Лесі Українки в м. Буча Київської області. Коригування»  </t>
  </si>
  <si>
    <t xml:space="preserve">Технічний нагляд по об’єкту « Будівництво спортивного блоку в комплексі з будівлями загальноосвітньої школи № 2 по вул.Шевченка, 14 в м. Буча (Залишки).Коригування» </t>
  </si>
  <si>
    <t>Виготовлення проектно – кошторисної документації по об’єкту «Будівництво спортивного блоку в комплексі з будівлями загальноосвітньої школи № 2 по вул. Шевченка, в м. Буча. Реконструкція системи газопостачання котельні»</t>
  </si>
  <si>
    <t>Капітальний ремонт системи водовідведення по вул. Тюменцева-Хвилі в м. Буча Київської області</t>
  </si>
  <si>
    <t>Встановлення на об'єктах бюджетної сфери м. Буча індивідуальних теплових пунктів з погодним регулюванням</t>
  </si>
  <si>
    <t>Субвенція з місцевого бюджету на співфінансування інвестиційних проектів</t>
  </si>
  <si>
    <t>Капітальний ремонт дороги комунальної власності по вул. Тюльпанова в сел. Ворзель Київської області</t>
  </si>
  <si>
    <t>Капітальний ремонт мереж вуличного освітлення в с. Здвижівка</t>
  </si>
  <si>
    <t>Забезпечення діяльності водопровідно-каналізаційного господарства</t>
  </si>
  <si>
    <t>0116013</t>
  </si>
  <si>
    <t>Технічний нагляд по об'єкту "Капітальний ремонт дороги комунальної власності по вул. Інститутська ( від вул. Тургенєва до вул. Революції) в м. Буча Київської області)"</t>
  </si>
  <si>
    <t>Капітальний ремонт приміщень Бучанського навчально-виховного комплексу " Спеціалізована загальноосвітня школа I-III ступенів- загальноосвітня школа I-III ступенів №2 по вул. Шевченка,14 в м. Буча Київської області"</t>
  </si>
  <si>
    <t>Капітальний ремонт будівлі загальноосвітньої школи №2 по вул. Шевченка,14 в м. Буча Київської області ( утеплення фасадів та заміна покриття даху) ( співфінансування)</t>
  </si>
  <si>
    <t>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 ( співфінансування)</t>
  </si>
  <si>
    <t>моноблок</t>
  </si>
  <si>
    <t>Розроблення проектної документації стадії « робочий проєкт» по об'єкту « Будівництво очисних споруд комунальної власності за адресою Київська область, Бучанський район, с. Блиставиця вул. Ярослава Мудрого, б, 1-а»</t>
  </si>
  <si>
    <t>Розроблення проектної документації стадії « робочий проєкт» по об'єкту « Будівництво котельні комунальної власності за адресою Київська область, Бучанський район, с. Блиставиця, вулиця Ярослава Мудрого, б. 3-а»</t>
  </si>
  <si>
    <t>Капітальний ремонт мереж вуличного освітлення по вул. Б. Гмирі в м. Буча Київської області</t>
  </si>
  <si>
    <t>0611182</t>
  </si>
  <si>
    <t>Виконання заходів, спрямованих на забезпечення якісної, сучасної та доступної загальної середньої освіти « Нова українська школа» за рахунок субвенції з державного бюджету місцевим бюджетам</t>
  </si>
  <si>
    <t>Придбання у комунальну власність житла для надання в тимчасове користування внутрішньо переміщеним особам</t>
  </si>
  <si>
    <t>Капітальний ремонт харчоблоку Комунального закладу « Синяківський хіміко-технологічний ліцей»- заклад загальної середньої освіти I-II ступенів» № 15 в с. Синяк, Київської області»</t>
  </si>
  <si>
    <t>Виготовлення проектно-кошторисної документації об"єкту "Будівництво амбулаторії загальної практики сімейної медицини комунальної власності по вул.Котляревського, 21-б в смт.Ворзель Бучанської міської територіальної громади Київської області</t>
  </si>
  <si>
    <t>Капітальний ремонт групових приміщень Мироцького закладу дошкільної освіти № 13 « Лелеченя» Бучанської міської ради Київської області в с. Мироцьке, Київської області</t>
  </si>
  <si>
    <t>Капітальний ремонт шкільних приміщень Комунального закладу « Синяківський хіміко-технологічний ліцей – заклад загальної середньої освіти I-II ступенів» № 15 в с. Синяк, Київської області</t>
  </si>
  <si>
    <t>Капітальний ремонт актової зали Комунального закладу « Здвижівська гімназія № 14» в с. Здвижівка, Київської області</t>
  </si>
  <si>
    <t>Будівництво зони відпочинку навколо озера по вул. Т. Шевченка в с. Мироцьке Бучанського району Київської області</t>
  </si>
  <si>
    <t>Реконструкція фонтану на Київській площі, в м. Буча Київської області</t>
  </si>
  <si>
    <t xml:space="preserve">Придбання телемедичного обладнання для амбулаторій загальної практики-сімейної медицини в с. Блиставиця ( вул. Єдності 1а), с. Луб'янка ( вул. Шевченка 93), сел. Ворзель ( вул. Котляревського, 21 б), с. Мироцьке ( вул. Центральна, 3)
</t>
  </si>
  <si>
    <t>Капітальний ремонт велодоріжки комунальної власності у нижні частині Бучанського міського парку в м. Буча Київської області</t>
  </si>
  <si>
    <t>Капітальний ремонт системи автоматичного поливу по вул. Київська в с. Синяк Бучанського району Київської області</t>
  </si>
  <si>
    <t>Капітальний ремонт-озеленення по вул. Нове Шосе ( між бульв. Б. Хмельницького та вул. Вишнева) в м. Буча Київської області</t>
  </si>
  <si>
    <t>Капітальний ремонт благоустрою території- влаштування спортивного майданчику біля озера Бучанського міського парку в м. Буча Київської області</t>
  </si>
  <si>
    <t>Капітальний ремонт покрівель трансформаторних підстанцій в м. Буча Київської області</t>
  </si>
  <si>
    <t>Розроблення проектної документації  «Капітальний ремонт велодоріжки комунальної власності по вул. А. Михайловського ( від вул. Сілезька до вул. Тургенєва) в м. Буча Київської області</t>
  </si>
  <si>
    <t>Розроблення проектної документації « Капітальний ремонт велодоріжки комунальної власності по вул. Тургенєва ( від вул. Інститутська до №8)в м. Буча Київської області</t>
  </si>
  <si>
    <t>Розроблення проектної документації « Капітальний ремонт пішохідної зони між вул. Леха Качинського та пров. Богдана Ступки ( біля будинку № 129) в м. Буча Київської області</t>
  </si>
  <si>
    <t>0611021</t>
  </si>
  <si>
    <t>Надання загальної середньої освіти за рахунок коштів місцевого бюджету</t>
  </si>
  <si>
    <t>Реконструкція адміністративної будівлі за адресою :Київська обл., Бучанський район, с. Блиставиця, вул. Ярослава Мудрого буд.1-А</t>
  </si>
  <si>
    <t xml:space="preserve">Комплексної експертизи якості проектних рішень  по об'єкту будівництва « будівництво дошкільного навчального закладу на 75 місць в смт. Бабинці Бучанського району Київської області по вул. Травневій,70» Нове будівництво» </t>
  </si>
  <si>
    <t>Технічний нагляд по об'єкту будівництва « Капітальний ремонт приміщень Бучанського навчально-виховного комплексу « Спеціалізована загальноосвітня школа I-III ступенів – загальноосвітня школа I-III ступенів»  № 2 по вул. Шевченка, 14  в м. Буча Київської області»</t>
  </si>
  <si>
    <t>Авторський нагляд по об'єкту будівництва « Капітальний ремонт приміщень Бучанського навчально-виховного комплексу « Спеціалізована загальноосвітня школа I-III ступенів – загальноосвітня школа I-III ступенів»  № 2 по вул. Шевченка, 14  в м. Буча Київської області»</t>
  </si>
  <si>
    <t>Капітальний ремонт фасаду ( шкільний мурал ) в Бучанському навчально-виховному комплексі « Спеціалізована загальноосвітня школа I-III ступенів – загальноосвітня школа I-III ступенів» №4 по вул. Енергетиків ,2 в м. Буча Київської області</t>
  </si>
  <si>
    <t>Виготовлення проектно-кошторисної документації стадії « Робочий проект» за розділом « Система пожежної сигналізації та оповіщення про пожежу» по об'єкту будівництва « Будівництво дошкільного навчального закладу на 75 місць в смт. Бабинці Бучанського району Київської області по вул. Травневій,70 « Нове будівництво»</t>
  </si>
  <si>
    <t xml:space="preserve">Виготовлення проектно-кошторисної документації в розділі « Енергоефективність» по об'єкту будівництва « Будівництво дошкільного навчального закладу на 75 місць в смт. Бабинці Бучанського району Київської області по вул. Травневій,70» Нове будівництво» </t>
  </si>
  <si>
    <t>0291</t>
  </si>
  <si>
    <t>Виготовлення проектно-кошторисної документації стадії "РП" розділу "Електропостачання" для об'єкту: "Електропостачання.Будівництву дитячого садка на 75 місць в с.Синяк Вишгородського району Київської області"</t>
  </si>
  <si>
    <t>Будівництво спортивного блоку в комплексі з будівлями загальноосвітньої школи №2 по вул. Шевченка,14 в м. Буча ( Залишки). Коригування (співфінансування)</t>
  </si>
  <si>
    <t xml:space="preserve">Виготовлення проектно-кошторисної документації по об'єкту "Капітальний ремонт будівлі загальноосвітньої школи №2 по вул.Шевченка,14 в м. Буча Київської області (утеплення фасадів та заміна покриття даху)"( співфінансування) </t>
  </si>
  <si>
    <t>Додаткові роботи по об'єкту будівництва « Будівництво дошкільного навчального закладу на 144 місця по вул. Лесі українки в м. Буча Київської області»( співфінансування)</t>
  </si>
  <si>
    <t>0611210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</si>
  <si>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</si>
  <si>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Коригування проектно-кошторисної документації "Будівництво автомобільної дороги комунальної власності між автомобільною дорогою М-07 Київ-Ковель-Ягодин та вул.Польова в с.Мироцьке Київської області  (співфінансування)"</t>
  </si>
  <si>
    <t>7363</t>
  </si>
  <si>
    <t>01 КНП "Бучанський центр первинної медико-санітарної допомоги" Бучанської міської ради</t>
  </si>
  <si>
    <t>01 КНП "Бучанський консультативно-діагностичний центр"  Бучанської міської ради</t>
  </si>
  <si>
    <t>Співфінансування за рахунок місцевого бюджету у розмірі 70% вартості по об'єкту « Капітальний ремонт міжбудинкового проїзду та тротуару за адресою Київська область, м. Буча, вул. Тарасівська,10-В»</t>
  </si>
  <si>
    <t>01 ЖБК « Ірпіньмаш-2»</t>
  </si>
  <si>
    <t>«Капітальний ремонт щодо покращення енергозбереження будівлі Ворзельської початкової загальноосвітньої школи I ступеня № 11 комунальної власності вул. Березова,5, селищі Ворзель Київської обл.» Коригування</t>
  </si>
  <si>
    <t>0118110</t>
  </si>
  <si>
    <t>Заходи із запобігання та ліквідації надзвичайних ситуацій та наслідків стихійного лиха</t>
  </si>
  <si>
    <t xml:space="preserve">Капітальний ремонт нежитлового приміщення комунальної властності "Рада хаб - місце, що об'єднує людей" по вул. Центральна 102 в с.Здвижівка Бучанського району Київської області (Підтримка громадських проектів (Громадський бюджет) </t>
  </si>
  <si>
    <t>Капітальний ремонт пішохідної зони між вул. Травнева та вул. Кооперативна(біля селищної ради) в сел. Бабинці Київської області</t>
  </si>
  <si>
    <t>Капітальний ремонт велодоріжки комунальної власності по вул. А. Михайловського ( від вул. Сілезька до вул. Тургенєва) в м. Буча Київської області</t>
  </si>
  <si>
    <t>Капітальний ремонт велодоріжки комунальної власності по вул. Тургенєва ( від вул. Інститутська до №8)в м. Буча Київської області</t>
  </si>
  <si>
    <t>Капітальний ремонт пішохідної зони між вул. Леха Качинського та пров. Богдана Ступки ( біля будинку № 129) в м. Буча Київської області</t>
  </si>
  <si>
    <t>Капітальний ремонт благоустрою території між вул. Травнева та вул. Кооперативна (біля селищної ради) в сел. Бабинці Київської області</t>
  </si>
  <si>
    <t>Придбання у комунальну власність Бучанської міської територіальної громади нежитлової будівлі загальною площею 876,3 кв. м, що розташована за адресою: Київська область, м. Буча, вул. Енергетиків, 1 -А</t>
  </si>
  <si>
    <t>Реконструкція дороги комунальної власності по вул. Паркова від озера Бучанського міського парку до вул. Сілезька в м. Буча Київської області</t>
  </si>
  <si>
    <t>2020-2021</t>
  </si>
  <si>
    <t>Реконструкція дороги комунальної власності по бульвару Леоніда Бірюкова в м. Буча Київської області</t>
  </si>
  <si>
    <t>Капітальний ремонт щодо покращення енергозбереження будівлі Ворзельської початкової загальноосвітньої школи I ступеня № 11 комунальної власності вул. Березова,5, селищі Ворзель Київської обл. Коригування (співфінансування)</t>
  </si>
  <si>
    <t>Заміна та перенесення приладу обліку «електропостачання» по об’єкту  «Реконструкція з добудовою загальноосвітньої школи №1 І-ІІІ ступенів по вул. Малиновського,74 в м.Буча Київської област</t>
  </si>
  <si>
    <t>Розроблення проектно – кошторисної документації « Будівництво футбольного поля із штучним покриттям та біговою доріжкою на території ЗОШ №6, по вул.Соборна,27 в с. Блиставиця, Київської області</t>
  </si>
  <si>
    <t>Проведення технічно нагляду по об'єкту « Будівництво футбольного поля із штучним покриттям та біговою доріжкою на території ЗОШ №6, по вул.Соборна,27 в с. Блиставиця, Київської області</t>
  </si>
  <si>
    <t>Авторський нагляд по об’єкту « Будівництво спортивного блоку в комплексі з будівлями загальноосвітньої школи № 2 по вул. Шевченка, 14 в м. Буча (Залишки). Коригування</t>
  </si>
  <si>
    <t>Капітальний ремонт нежитлового приміщення №69 Управління соціальної політики Бучанської міської ради за адресою: м. Буча, вул. Енергетиків,19</t>
  </si>
  <si>
    <t>Капітальний ремонт перехрестя доріг комунальної власності між вул. Л. Качинського та вул. Інститутська в м. Буча Київської області</t>
  </si>
  <si>
    <t>Інша діяльність, пов’язана з експлуатацією об’єктів житлово-комунального господарства</t>
  </si>
  <si>
    <t xml:space="preserve">Капітальний ремонт території комунальної власності бази КП « Бучасервіс» по вул. Л. Качинського, 1-А в м. Буча Київської області </t>
  </si>
  <si>
    <t xml:space="preserve">Будівництво дошкільного навчального закладу на 75 місць в с. Синяк Бучанського району Київської області. ( Благоустрій прилеглої території) </t>
  </si>
  <si>
    <t xml:space="preserve">Надання спеціальної освіти мистецькими школами </t>
  </si>
  <si>
    <t>1011080</t>
  </si>
  <si>
    <t>0960</t>
  </si>
  <si>
    <t>придбання стелажів та станка для прошивки документів,принтер, багатофункціонального пристрою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</si>
  <si>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</si>
  <si>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Капітальні трансферти населенню</t>
  </si>
  <si>
    <t>0816083</t>
  </si>
  <si>
    <t>Виготовлення проектно-кошторисної документації  « Електропостачання. Будівництво дошкільного навчального закладу на 75 місць в смт. Бабинці Бучанського району Київської області по вул. Травневій,70 « Нове будівництво»</t>
  </si>
  <si>
    <t>Капітальний ремонт приміщень Комунального закладу « Блиставицький заклад загальної середньої освіти I-III ступенів» №6 Бучанської міської ради»</t>
  </si>
  <si>
    <t>Капітальний ремонт фонтану комунальної власності по вул. Енергетиків,17 в м.Буча Київської області</t>
  </si>
  <si>
    <t>Капітальний ремонт тротуару комунальної власності по вул. Києво-Мироцька ( від №52 до вул. Яснополянська) в м. Буча Київської області</t>
  </si>
  <si>
    <t>Капітальний ремонт благоустрою території ( встановлення флагштоків) вздовж дороги ( між а/д М-07 та вул. Польова) в с. Мироцьке Київської області</t>
  </si>
  <si>
    <t>Капітальний ремонт перехрестя доріг комунальної власності між вул. Нове Шосе та бульв. Л. Бірюкова в м. Буча Київської області</t>
  </si>
  <si>
    <t>Капітальний ремонт перехрестя доріг комунальної власності між вул. Л. Українка та вул. Нове Шосе в м. Буча Київської області</t>
  </si>
  <si>
    <t>Нове будівництво котельні комунальної власності за адресою: Київська обл., Бучанський район, с. Блиставиця, вулиця Ярослава Мудрого, буд. 3-А</t>
  </si>
  <si>
    <t>Розроблення проектно-кошторисної документації по об'єкту: « Будівництво зони відпочинку із влаштуванням спортивних багатофункціональних майданчиків біля озера по вул. Тараса Шевченка в с. Мироцьке Бучанського району Київської області»</t>
  </si>
  <si>
    <t>Капітальний ремонт перехрестя доріг комунальної власності між вул. Інститутська та вул. Сілезька в м. Буча Київської області</t>
  </si>
  <si>
    <t>Реконструкція дороги комунальної власності по вул. Польова від вул. Енергетиків до вул. Михайла Гориня в м. Буча Київської області</t>
  </si>
  <si>
    <t xml:space="preserve"> Розроблення проектно-кошторисної документації по об'єкту « Будівництво зони відпочинку навколо озера по вул. Тараса Шевченка в с. Мироцьке Бучанського району Київської області»</t>
  </si>
  <si>
    <t>Розроблення проектної документації "Реконструкція ставка по вул. Ватутіна в с. Веронівка Бучанського району Київської області"</t>
  </si>
  <si>
    <t>Будівництво зони відпочинку із влаштуванням спортивних багатофункціональних майданчиків біля озера по вул. Тараса Шевченка в с. Мироцьке Бучанського району Київської області</t>
  </si>
  <si>
    <t>Будівництво амбулаторії загальної практики сімейної медицини комунальної власності по вул. Травневій, 66 в смт Бабинці, Бучанської міської територіальної громади Київської області</t>
  </si>
  <si>
    <t>Капітальний ремонт дороги комунальної власності в межах вул. І. Руденко, м. Мурашка, сім’ї Забарило із влаштуванням кільцевої транспортної розв’язки по бульв. Б. Хмельницького із під’їздом до центру надання соціальних послуг “Прозорий офіс” в м. Буча Київської області</t>
  </si>
  <si>
    <t>Капітальний ремонт дороги комунальної власності по вул. Вірьовки в м. Буча Київської області</t>
  </si>
  <si>
    <t>Капітальний ремонт пішохідної зони між вул. Л. Качинського та пров. Б. Ступки (біля будинку № 129) в м. Буча Київської області</t>
  </si>
  <si>
    <t>Технічний нагляд на об'єкті « Реконструкція адмінбудівлі за адресою Київська область, Бучанський район, с. Блиставиця, вул. Ярослава Мудрого, буд 1-А»</t>
  </si>
  <si>
    <t>Авторський нагляд на об'єкті « Реконструкція адмінбудівлі за адресою Київська область, Бучанський район, с. Блиставиця, вул. Ярослава Мудрого, буд 1-А»</t>
  </si>
  <si>
    <t>Капітальний ремонт огорожі комунальної власності вздовж вул. Центральна в с. Мироцьке Київської області</t>
  </si>
  <si>
    <t>Капітальний ремонт мереж вуличного освітлення по вул. Л. Бірюкова та вул. Вишнева ( від вул. Бірюкова до вул. нове Шосе) в м. Буча Київської області</t>
  </si>
  <si>
    <t>Коригування проектно-кошторисної документації по об'єкту « Будівництво спортивного блоку в комплексі з будівлями загальноосвітньої школи №2 по вул. Шевченка,14 в м. Буча ( залишки). Коригування»</t>
  </si>
  <si>
    <t>Розробку проектно-кошторисної документації по об'єкту « Капітальний ремонт футбольного поля та бігової доріжки на території Гаврилівського закладу загальної середньої освіти №8 по вул. Садова,21 в с. Гаврилівка Київської області»</t>
  </si>
  <si>
    <t>Розробку проектно-кошторисної документації по об'єкту « Капітальний ремонт футбольного поля та бігової доріжки на території Мироцької гімназії №12 по вул. Соборна,127 в с. Мироцьке Київської області»</t>
  </si>
  <si>
    <t>цифровий перетворювач для мамографа, моноблоки,апаратів ШВЛ</t>
  </si>
  <si>
    <t>Розроблення проектно-кошторисної документації ро об'єкту: « Будівництво дошкільного дитячого закладу на 144 місця по вул. Лесі Українки в м. Буча Київської області. Коригування робочих креслень зовнішніх інженерних мереж»</t>
  </si>
  <si>
    <t>комп.техніки , меблів сенсорного куточку</t>
  </si>
  <si>
    <t>269 209 котел інклюзії 1200</t>
  </si>
  <si>
    <t>Капітальні трансферти населенню (співфінансування)</t>
  </si>
  <si>
    <t>Розроблення проектно-кошторисної документації на « Реконструкцію системи електропостачання будівель та споруд Бучанської міської ради зі встановленням резервної дизельної електростанції за адресою: м. Буча вул. Енергетиків,12»</t>
  </si>
  <si>
    <t>0810160</t>
  </si>
  <si>
    <t>3710160</t>
  </si>
  <si>
    <t>Капітальний ремонт мереж вуличного освітлення по вул. Яблунська в м.Буча Київської області</t>
  </si>
  <si>
    <t>Капітальний ремонт приміщень амбулаторії загальної практики- сімейної медицини комунальної власності по (внутрішні роботи) вул. Європейська, 4-д в сел. Ворзель Київської області</t>
  </si>
  <si>
    <t>0116017</t>
  </si>
  <si>
    <t>Придбання інноваційної техніки для створення сучасної бібліотеки в Комунальному закладів « Ворзельський заклад загальної середньої освіти I-III ступенів №10» Бучанської міської ради Київської області» (громадський бюджет)</t>
  </si>
  <si>
    <t xml:space="preserve"> "Капітальний ремонт зупинкових майданчиків між вул.Нова та а/д Т 1011 в с.Здвижівка Київської області"</t>
  </si>
  <si>
    <t>Капітальний ремонт благоустрою території ( встановлення флагштоків) в с. Бабинці Київської області</t>
  </si>
  <si>
    <t>Розробка проектної документації по об'єкту « Капітальний ремонт частини першого поверху адміністративної будівлі комунальної власності по вул. Травневій буд 64-Ав с. Бабинці Бучанського району Київської області»</t>
  </si>
  <si>
    <t>Капітальний ремонт тротуару між вул. Л. Качинського та вул. Пушкінська в м. Буча Київської області</t>
  </si>
  <si>
    <t xml:space="preserve">до рішення Бучанської міської ради №2590-24-VIІІ (позачергова)   від  06.12.2021р. "Про внесення змін до рішення 5 сесії Бучанської міської ради VIIІ  скликання від 24.12.2020р. №124-5- VIIІ" Про місцевий бюджет Бучанської міської територіальної громади на 2021 рік"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</si>
</sst>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%"/>
  </numFmts>
  <fonts count="30" x14ac:knownFonts="1"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i/>
      <u/>
      <sz val="14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23" fillId="0" borderId="0" applyFont="0" applyFill="0" applyBorder="0" applyAlignment="0" applyProtection="0"/>
  </cellStyleXfs>
  <cellXfs count="354">
    <xf numFmtId="0" fontId="0" fillId="0" borderId="0" xfId="0"/>
    <xf numFmtId="0" fontId="1" fillId="0" borderId="0" xfId="0" applyFont="1"/>
    <xf numFmtId="0" fontId="3" fillId="0" borderId="0" xfId="0" applyFont="1"/>
    <xf numFmtId="0" fontId="7" fillId="0" borderId="1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right"/>
    </xf>
    <xf numFmtId="0" fontId="1" fillId="3" borderId="0" xfId="0" applyFont="1" applyFill="1"/>
    <xf numFmtId="0" fontId="5" fillId="0" borderId="0" xfId="0" applyFont="1" applyFill="1"/>
    <xf numFmtId="49" fontId="5" fillId="0" borderId="1" xfId="0" applyNumberFormat="1" applyFont="1" applyFill="1" applyBorder="1" applyAlignment="1">
      <alignment horizontal="center" vertical="center" wrapText="1" shrinkToFit="1"/>
    </xf>
    <xf numFmtId="0" fontId="9" fillId="3" borderId="1" xfId="0" applyFont="1" applyFill="1" applyBorder="1" applyAlignment="1">
      <alignment horizontal="center" vertical="center" wrapText="1" shrinkToFit="1"/>
    </xf>
    <xf numFmtId="0" fontId="6" fillId="3" borderId="1" xfId="0" applyFont="1" applyFill="1" applyBorder="1" applyAlignment="1">
      <alignment horizontal="center" vertical="center" wrapText="1" shrinkToFit="1"/>
    </xf>
    <xf numFmtId="0" fontId="9" fillId="4" borderId="2" xfId="0" applyFont="1" applyFill="1" applyBorder="1" applyAlignment="1">
      <alignment vertical="center" wrapText="1" shrinkToFit="1"/>
    </xf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0" xfId="0" applyFont="1" applyFill="1"/>
    <xf numFmtId="0" fontId="5" fillId="0" borderId="1" xfId="0" applyFont="1" applyFill="1" applyBorder="1" applyAlignment="1">
      <alignment vertical="center" wrapText="1" shrinkToFit="1"/>
    </xf>
    <xf numFmtId="0" fontId="1" fillId="4" borderId="0" xfId="0" applyFont="1" applyFill="1"/>
    <xf numFmtId="4" fontId="9" fillId="4" borderId="1" xfId="0" applyNumberFormat="1" applyFont="1" applyFill="1" applyBorder="1" applyAlignment="1">
      <alignment horizontal="right" vertical="center" wrapText="1" shrinkToFit="1"/>
    </xf>
    <xf numFmtId="4" fontId="2" fillId="0" borderId="0" xfId="0" applyNumberFormat="1" applyFont="1" applyFill="1"/>
    <xf numFmtId="0" fontId="1" fillId="0" borderId="0" xfId="0" applyFont="1" applyFill="1" applyAlignment="1">
      <alignment horizontal="right"/>
    </xf>
    <xf numFmtId="4" fontId="1" fillId="0" borderId="0" xfId="0" applyNumberFormat="1" applyFont="1" applyFill="1"/>
    <xf numFmtId="0" fontId="1" fillId="0" borderId="0" xfId="0" applyFont="1" applyBorder="1"/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4" fontId="1" fillId="0" borderId="0" xfId="0" applyNumberFormat="1" applyFont="1" applyBorder="1"/>
    <xf numFmtId="0" fontId="12" fillId="0" borderId="0" xfId="0" applyFont="1" applyFill="1" applyBorder="1"/>
    <xf numFmtId="0" fontId="1" fillId="0" borderId="0" xfId="0" applyFont="1" applyFill="1" applyBorder="1"/>
    <xf numFmtId="4" fontId="1" fillId="0" borderId="0" xfId="0" applyNumberFormat="1" applyFont="1" applyFill="1" applyBorder="1"/>
    <xf numFmtId="4" fontId="1" fillId="0" borderId="0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4" fontId="11" fillId="0" borderId="1" xfId="0" applyNumberFormat="1" applyFont="1" applyFill="1" applyBorder="1" applyAlignment="1">
      <alignment horizontal="center" vertical="center" wrapText="1" shrinkToFit="1"/>
    </xf>
    <xf numFmtId="1" fontId="11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wrapText="1" shrinkToFit="1"/>
    </xf>
    <xf numFmtId="0" fontId="11" fillId="3" borderId="1" xfId="0" applyFont="1" applyFill="1" applyBorder="1"/>
    <xf numFmtId="0" fontId="14" fillId="6" borderId="1" xfId="0" applyNumberFormat="1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>
      <alignment wrapText="1" shrinkToFit="1"/>
    </xf>
    <xf numFmtId="0" fontId="5" fillId="0" borderId="3" xfId="0" applyFont="1" applyFill="1" applyBorder="1" applyAlignment="1">
      <alignment horizontal="center" vertical="center" wrapText="1" shrinkToFit="1"/>
    </xf>
    <xf numFmtId="49" fontId="5" fillId="3" borderId="1" xfId="0" applyNumberFormat="1" applyFont="1" applyFill="1" applyBorder="1" applyAlignment="1">
      <alignment horizontal="center" vertical="center" wrapText="1" shrinkToFit="1"/>
    </xf>
    <xf numFmtId="0" fontId="14" fillId="2" borderId="1" xfId="0" applyNumberFormat="1" applyFont="1" applyFill="1" applyBorder="1" applyAlignment="1" applyProtection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 shrinkToFit="1"/>
    </xf>
    <xf numFmtId="1" fontId="5" fillId="3" borderId="1" xfId="0" applyNumberFormat="1" applyFont="1" applyFill="1" applyBorder="1" applyAlignment="1">
      <alignment vertical="center" wrapText="1" shrinkToFit="1"/>
    </xf>
    <xf numFmtId="1" fontId="5" fillId="3" borderId="3" xfId="0" applyNumberFormat="1" applyFont="1" applyFill="1" applyBorder="1" applyAlignment="1">
      <alignment vertical="center" wrapText="1" shrinkToFit="1"/>
    </xf>
    <xf numFmtId="1" fontId="14" fillId="3" borderId="1" xfId="0" applyNumberFormat="1" applyFont="1" applyFill="1" applyBorder="1" applyAlignment="1">
      <alignment horizontal="center" vertical="center" wrapText="1" shrinkToFit="1"/>
    </xf>
    <xf numFmtId="0" fontId="5" fillId="0" borderId="3" xfId="0" quotePrefix="1" applyFont="1" applyFill="1" applyBorder="1" applyAlignment="1">
      <alignment horizontal="center" vertical="center" wrapText="1" shrinkToFit="1"/>
    </xf>
    <xf numFmtId="0" fontId="11" fillId="3" borderId="3" xfId="0" applyFont="1" applyFill="1" applyBorder="1"/>
    <xf numFmtId="2" fontId="15" fillId="2" borderId="1" xfId="0" applyNumberFormat="1" applyFont="1" applyFill="1" applyBorder="1" applyAlignment="1">
      <alignment horizontal="center" vertical="center" wrapText="1" shrinkToFit="1"/>
    </xf>
    <xf numFmtId="0" fontId="14" fillId="0" borderId="1" xfId="0" applyFont="1" applyBorder="1" applyAlignment="1">
      <alignment wrapText="1"/>
    </xf>
    <xf numFmtId="2" fontId="5" fillId="0" borderId="1" xfId="0" applyNumberFormat="1" applyFont="1" applyFill="1" applyBorder="1" applyAlignment="1">
      <alignment horizontal="center" vertical="center" wrapText="1" shrinkToFit="1"/>
    </xf>
    <xf numFmtId="0" fontId="17" fillId="0" borderId="0" xfId="0" applyFont="1" applyFill="1" applyAlignment="1">
      <alignment horizontal="center"/>
    </xf>
    <xf numFmtId="0" fontId="5" fillId="3" borderId="1" xfId="0" quotePrefix="1" applyFont="1" applyFill="1" applyBorder="1" applyAlignment="1">
      <alignment horizontal="center" vertical="center" wrapText="1" shrinkToFit="1"/>
    </xf>
    <xf numFmtId="0" fontId="14" fillId="6" borderId="1" xfId="0" applyFont="1" applyFill="1" applyBorder="1" applyAlignment="1">
      <alignment horizontal="left" vertical="center" wrapText="1" shrinkToFit="1"/>
    </xf>
    <xf numFmtId="49" fontId="11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/>
    <xf numFmtId="0" fontId="17" fillId="0" borderId="0" xfId="0" applyFont="1"/>
    <xf numFmtId="164" fontId="1" fillId="0" borderId="1" xfId="0" applyNumberFormat="1" applyFont="1" applyFill="1" applyBorder="1"/>
    <xf numFmtId="0" fontId="13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1" fillId="0" borderId="3" xfId="0" quotePrefix="1" applyFont="1" applyFill="1" applyBorder="1" applyAlignment="1">
      <alignment horizontal="center" vertical="center" wrapText="1" shrinkToFit="1"/>
    </xf>
    <xf numFmtId="0" fontId="11" fillId="0" borderId="1" xfId="0" quotePrefix="1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64" fontId="18" fillId="0" borderId="1" xfId="0" applyNumberFormat="1" applyFont="1" applyFill="1" applyBorder="1"/>
    <xf numFmtId="164" fontId="19" fillId="0" borderId="1" xfId="0" applyNumberFormat="1" applyFont="1" applyFill="1" applyBorder="1"/>
    <xf numFmtId="164" fontId="20" fillId="7" borderId="1" xfId="0" applyNumberFormat="1" applyFont="1" applyFill="1" applyBorder="1"/>
    <xf numFmtId="0" fontId="1" fillId="4" borderId="1" xfId="0" applyFont="1" applyFill="1" applyBorder="1"/>
    <xf numFmtId="0" fontId="1" fillId="3" borderId="1" xfId="0" applyFont="1" applyFill="1" applyBorder="1"/>
    <xf numFmtId="164" fontId="20" fillId="4" borderId="1" xfId="0" applyNumberFormat="1" applyFont="1" applyFill="1" applyBorder="1"/>
    <xf numFmtId="4" fontId="20" fillId="4" borderId="1" xfId="0" applyNumberFormat="1" applyFont="1" applyFill="1" applyBorder="1"/>
    <xf numFmtId="0" fontId="1" fillId="0" borderId="1" xfId="0" applyFont="1" applyBorder="1"/>
    <xf numFmtId="4" fontId="20" fillId="0" borderId="1" xfId="0" applyNumberFormat="1" applyFont="1" applyBorder="1"/>
    <xf numFmtId="0" fontId="1" fillId="8" borderId="0" xfId="0" applyFont="1" applyFill="1"/>
    <xf numFmtId="0" fontId="5" fillId="8" borderId="0" xfId="0" applyFont="1" applyFill="1"/>
    <xf numFmtId="0" fontId="13" fillId="0" borderId="5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13" fillId="0" borderId="0" xfId="0" applyFont="1" applyAlignment="1">
      <alignment horizontal="center"/>
    </xf>
    <xf numFmtId="0" fontId="13" fillId="0" borderId="0" xfId="0" applyFont="1" applyBorder="1" applyAlignment="1">
      <alignment horizontal="center"/>
    </xf>
    <xf numFmtId="0" fontId="9" fillId="4" borderId="4" xfId="0" applyFont="1" applyFill="1" applyBorder="1" applyAlignment="1">
      <alignment vertical="center" wrapText="1" shrinkToFit="1"/>
    </xf>
    <xf numFmtId="0" fontId="11" fillId="3" borderId="1" xfId="0" applyFont="1" applyFill="1" applyBorder="1" applyAlignment="1">
      <alignment horizontal="center" vertical="center"/>
    </xf>
    <xf numFmtId="0" fontId="11" fillId="3" borderId="1" xfId="0" quotePrefix="1" applyFont="1" applyFill="1" applyBorder="1" applyAlignment="1">
      <alignment horizontal="center" vertical="center"/>
    </xf>
    <xf numFmtId="4" fontId="14" fillId="4" borderId="1" xfId="0" applyNumberFormat="1" applyFont="1" applyFill="1" applyBorder="1" applyAlignment="1">
      <alignment horizontal="center" vertical="center" wrapText="1" shrinkToFit="1"/>
    </xf>
    <xf numFmtId="4" fontId="14" fillId="3" borderId="1" xfId="0" applyNumberFormat="1" applyFont="1" applyFill="1" applyBorder="1" applyAlignment="1">
      <alignment horizontal="center" vertical="center" wrapText="1" shrinkToFit="1"/>
    </xf>
    <xf numFmtId="4" fontId="7" fillId="3" borderId="1" xfId="0" applyNumberFormat="1" applyFont="1" applyFill="1" applyBorder="1" applyAlignment="1">
      <alignment horizontal="center" vertical="center" wrapText="1" shrinkToFit="1"/>
    </xf>
    <xf numFmtId="0" fontId="22" fillId="3" borderId="1" xfId="0" applyFont="1" applyFill="1" applyBorder="1" applyAlignment="1">
      <alignment horizontal="center" vertical="center" wrapText="1" shrinkToFit="1"/>
    </xf>
    <xf numFmtId="0" fontId="11" fillId="3" borderId="1" xfId="0" quotePrefix="1" applyFont="1" applyFill="1" applyBorder="1" applyAlignment="1">
      <alignment horizontal="center" vertical="center" wrapText="1" shrinkToFit="1"/>
    </xf>
    <xf numFmtId="4" fontId="5" fillId="0" borderId="1" xfId="0" applyNumberFormat="1" applyFont="1" applyFill="1" applyBorder="1" applyAlignment="1">
      <alignment horizontal="center" vertical="center" wrapText="1" shrinkToFit="1"/>
    </xf>
    <xf numFmtId="4" fontId="7" fillId="0" borderId="1" xfId="0" applyNumberFormat="1" applyFont="1" applyBorder="1" applyAlignment="1">
      <alignment horizontal="center" vertical="center" wrapText="1" shrinkToFit="1"/>
    </xf>
    <xf numFmtId="4" fontId="9" fillId="3" borderId="1" xfId="0" applyNumberFormat="1" applyFont="1" applyFill="1" applyBorder="1" applyAlignment="1">
      <alignment horizontal="center" vertical="center" wrapText="1" shrinkToFit="1"/>
    </xf>
    <xf numFmtId="1" fontId="7" fillId="3" borderId="1" xfId="0" applyNumberFormat="1" applyFont="1" applyFill="1" applyBorder="1" applyAlignment="1">
      <alignment horizontal="center" vertical="center" wrapText="1" shrinkToFit="1"/>
    </xf>
    <xf numFmtId="1" fontId="14" fillId="4" borderId="1" xfId="0" applyNumberFormat="1" applyFont="1" applyFill="1" applyBorder="1" applyAlignment="1">
      <alignment horizontal="center" vertical="center" wrapText="1" shrinkToFit="1"/>
    </xf>
    <xf numFmtId="165" fontId="5" fillId="0" borderId="1" xfId="0" applyNumberFormat="1" applyFont="1" applyFill="1" applyBorder="1" applyAlignment="1">
      <alignment horizontal="center" vertical="center" wrapText="1" shrinkToFit="1"/>
    </xf>
    <xf numFmtId="9" fontId="11" fillId="0" borderId="1" xfId="1" applyFont="1" applyFill="1" applyBorder="1" applyAlignment="1">
      <alignment horizontal="center" vertical="center" wrapText="1" shrinkToFit="1"/>
    </xf>
    <xf numFmtId="49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wrapText="1"/>
    </xf>
    <xf numFmtId="0" fontId="5" fillId="0" borderId="2" xfId="0" applyFont="1" applyFill="1" applyBorder="1" applyAlignment="1">
      <alignment wrapText="1" shrinkToFit="1"/>
    </xf>
    <xf numFmtId="4" fontId="7" fillId="4" borderId="1" xfId="0" applyNumberFormat="1" applyFont="1" applyFill="1" applyBorder="1" applyAlignment="1">
      <alignment horizontal="center" vertical="center" wrapText="1" shrinkToFit="1"/>
    </xf>
    <xf numFmtId="0" fontId="13" fillId="9" borderId="1" xfId="0" applyFont="1" applyFill="1" applyBorder="1" applyAlignment="1">
      <alignment horizontal="center" vertical="center"/>
    </xf>
    <xf numFmtId="164" fontId="1" fillId="9" borderId="1" xfId="0" applyNumberFormat="1" applyFont="1" applyFill="1" applyBorder="1"/>
    <xf numFmtId="0" fontId="16" fillId="9" borderId="1" xfId="0" applyFont="1" applyFill="1" applyBorder="1" applyAlignment="1">
      <alignment horizontal="center" vertical="center"/>
    </xf>
    <xf numFmtId="0" fontId="1" fillId="9" borderId="5" xfId="0" applyFont="1" applyFill="1" applyBorder="1"/>
    <xf numFmtId="0" fontId="5" fillId="0" borderId="4" xfId="0" applyFont="1" applyFill="1" applyBorder="1" applyAlignment="1">
      <alignment wrapText="1" shrinkToFit="1"/>
    </xf>
    <xf numFmtId="0" fontId="5" fillId="0" borderId="1" xfId="0" applyFont="1" applyFill="1" applyBorder="1" applyAlignment="1">
      <alignment horizontal="left" vertical="center" wrapText="1" shrinkToFit="1"/>
    </xf>
    <xf numFmtId="4" fontId="5" fillId="0" borderId="4" xfId="0" applyNumberFormat="1" applyFont="1" applyFill="1" applyBorder="1" applyAlignment="1">
      <alignment horizontal="center" vertical="center" wrapText="1" shrinkToFit="1"/>
    </xf>
    <xf numFmtId="164" fontId="24" fillId="0" borderId="1" xfId="0" applyNumberFormat="1" applyFont="1" applyFill="1" applyBorder="1"/>
    <xf numFmtId="164" fontId="5" fillId="0" borderId="1" xfId="0" applyNumberFormat="1" applyFont="1" applyFill="1" applyBorder="1"/>
    <xf numFmtId="164" fontId="24" fillId="9" borderId="1" xfId="0" applyNumberFormat="1" applyFont="1" applyFill="1" applyBorder="1"/>
    <xf numFmtId="164" fontId="5" fillId="9" borderId="1" xfId="0" applyNumberFormat="1" applyFont="1" applyFill="1" applyBorder="1"/>
    <xf numFmtId="0" fontId="24" fillId="0" borderId="1" xfId="0" applyFont="1" applyBorder="1"/>
    <xf numFmtId="164" fontId="6" fillId="3" borderId="1" xfId="0" applyNumberFormat="1" applyFont="1" applyFill="1" applyBorder="1" applyAlignment="1">
      <alignment horizontal="center"/>
    </xf>
    <xf numFmtId="0" fontId="13" fillId="3" borderId="3" xfId="0" applyFont="1" applyFill="1" applyBorder="1" applyAlignment="1">
      <alignment vertical="center"/>
    </xf>
    <xf numFmtId="0" fontId="13" fillId="3" borderId="4" xfId="0" applyFont="1" applyFill="1" applyBorder="1" applyAlignment="1">
      <alignment vertical="center"/>
    </xf>
    <xf numFmtId="0" fontId="13" fillId="3" borderId="2" xfId="0" applyFont="1" applyFill="1" applyBorder="1" applyAlignment="1">
      <alignment vertical="center"/>
    </xf>
    <xf numFmtId="0" fontId="13" fillId="0" borderId="3" xfId="0" applyFont="1" applyFill="1" applyBorder="1" applyAlignment="1">
      <alignment vertical="center"/>
    </xf>
    <xf numFmtId="0" fontId="13" fillId="0" borderId="4" xfId="0" applyFont="1" applyFill="1" applyBorder="1" applyAlignment="1">
      <alignment vertical="center"/>
    </xf>
    <xf numFmtId="0" fontId="13" fillId="0" borderId="2" xfId="0" applyFont="1" applyFill="1" applyBorder="1" applyAlignment="1">
      <alignment vertical="center"/>
    </xf>
    <xf numFmtId="0" fontId="13" fillId="0" borderId="3" xfId="0" applyFont="1" applyBorder="1" applyAlignment="1">
      <alignment vertical="center"/>
    </xf>
    <xf numFmtId="0" fontId="13" fillId="0" borderId="4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49" fontId="5" fillId="0" borderId="0" xfId="0" quotePrefix="1" applyNumberFormat="1" applyFont="1" applyFill="1" applyBorder="1" applyAlignment="1">
      <alignment vertical="center" wrapText="1" shrinkToFit="1"/>
    </xf>
    <xf numFmtId="49" fontId="5" fillId="0" borderId="1" xfId="0" quotePrefix="1" applyNumberFormat="1" applyFont="1" applyFill="1" applyBorder="1" applyAlignment="1">
      <alignment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49" fontId="5" fillId="0" borderId="7" xfId="0" quotePrefix="1" applyNumberFormat="1" applyFont="1" applyFill="1" applyBorder="1" applyAlignment="1">
      <alignment horizontal="center" vertical="center" wrapText="1" shrinkToFit="1"/>
    </xf>
    <xf numFmtId="1" fontId="11" fillId="0" borderId="2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quotePrefix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49" fontId="5" fillId="0" borderId="7" xfId="0" quotePrefix="1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2" fontId="5" fillId="0" borderId="7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/>
    <xf numFmtId="9" fontId="5" fillId="0" borderId="1" xfId="1" applyFont="1" applyFill="1" applyBorder="1" applyAlignment="1">
      <alignment horizontal="center" vertical="center" wrapText="1" shrinkToFit="1"/>
    </xf>
    <xf numFmtId="0" fontId="24" fillId="0" borderId="0" xfId="0" applyFont="1" applyFill="1"/>
    <xf numFmtId="0" fontId="16" fillId="0" borderId="5" xfId="0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left" vertical="center" wrapText="1" shrinkToFit="1"/>
    </xf>
    <xf numFmtId="164" fontId="24" fillId="0" borderId="1" xfId="0" applyNumberFormat="1" applyFont="1" applyFill="1" applyBorder="1" applyAlignment="1"/>
    <xf numFmtId="0" fontId="24" fillId="0" borderId="0" xfId="0" applyFont="1"/>
    <xf numFmtId="0" fontId="24" fillId="3" borderId="0" xfId="0" applyFont="1" applyFill="1"/>
    <xf numFmtId="0" fontId="24" fillId="5" borderId="0" xfId="0" applyFont="1" applyFill="1"/>
    <xf numFmtId="164" fontId="24" fillId="0" borderId="3" xfId="0" applyNumberFormat="1" applyFont="1" applyFill="1" applyBorder="1" applyAlignment="1"/>
    <xf numFmtId="164" fontId="24" fillId="0" borderId="4" xfId="0" applyNumberFormat="1" applyFont="1" applyFill="1" applyBorder="1" applyAlignment="1"/>
    <xf numFmtId="164" fontId="24" fillId="0" borderId="2" xfId="0" applyNumberFormat="1" applyFont="1" applyFill="1" applyBorder="1" applyAlignment="1"/>
    <xf numFmtId="0" fontId="16" fillId="0" borderId="1" xfId="0" applyFont="1" applyBorder="1" applyAlignment="1">
      <alignment horizontal="center" vertical="center"/>
    </xf>
    <xf numFmtId="164" fontId="24" fillId="0" borderId="1" xfId="0" applyNumberFormat="1" applyFont="1" applyBorder="1"/>
    <xf numFmtId="0" fontId="5" fillId="3" borderId="1" xfId="0" quotePrefix="1" applyFont="1" applyFill="1" applyBorder="1" applyAlignment="1">
      <alignment horizontal="center" vertical="center"/>
    </xf>
    <xf numFmtId="0" fontId="5" fillId="3" borderId="1" xfId="0" applyFont="1" applyFill="1" applyBorder="1"/>
    <xf numFmtId="0" fontId="16" fillId="3" borderId="3" xfId="0" applyFont="1" applyFill="1" applyBorder="1" applyAlignment="1">
      <alignment vertical="center"/>
    </xf>
    <xf numFmtId="0" fontId="16" fillId="3" borderId="4" xfId="0" applyFont="1" applyFill="1" applyBorder="1" applyAlignment="1">
      <alignment vertical="center"/>
    </xf>
    <xf numFmtId="0" fontId="16" fillId="3" borderId="2" xfId="0" applyFont="1" applyFill="1" applyBorder="1" applyAlignment="1">
      <alignment vertical="center"/>
    </xf>
    <xf numFmtId="0" fontId="5" fillId="0" borderId="1" xfId="0" quotePrefix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vertical="center"/>
    </xf>
    <xf numFmtId="0" fontId="16" fillId="0" borderId="4" xfId="0" applyFont="1" applyFill="1" applyBorder="1" applyAlignment="1">
      <alignment vertical="center"/>
    </xf>
    <xf numFmtId="0" fontId="16" fillId="0" borderId="2" xfId="0" applyFont="1" applyFill="1" applyBorder="1" applyAlignment="1">
      <alignment vertical="center"/>
    </xf>
    <xf numFmtId="0" fontId="5" fillId="0" borderId="0" xfId="0" applyFont="1" applyFill="1" applyAlignment="1">
      <alignment wrapText="1"/>
    </xf>
    <xf numFmtId="0" fontId="16" fillId="3" borderId="1" xfId="0" applyFont="1" applyFill="1" applyBorder="1" applyAlignment="1">
      <alignment horizontal="center" vertical="center"/>
    </xf>
    <xf numFmtId="164" fontId="24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24" fillId="4" borderId="0" xfId="0" applyFont="1" applyFill="1"/>
    <xf numFmtId="0" fontId="24" fillId="8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3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20" fillId="7" borderId="1" xfId="0" applyFont="1" applyFill="1" applyBorder="1" applyAlignment="1">
      <alignment horizontal="center" vertical="center"/>
    </xf>
    <xf numFmtId="4" fontId="24" fillId="0" borderId="0" xfId="0" applyNumberFormat="1" applyFont="1" applyFill="1"/>
    <xf numFmtId="0" fontId="18" fillId="10" borderId="0" xfId="0" applyFont="1" applyFill="1"/>
    <xf numFmtId="0" fontId="5" fillId="0" borderId="7" xfId="0" applyFont="1" applyFill="1" applyBorder="1" applyAlignment="1">
      <alignment horizontal="center" vertical="center" wrapText="1" shrinkToFit="1"/>
    </xf>
    <xf numFmtId="49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/>
    <xf numFmtId="164" fontId="26" fillId="0" borderId="1" xfId="0" applyNumberFormat="1" applyFont="1" applyFill="1" applyBorder="1"/>
    <xf numFmtId="0" fontId="16" fillId="9" borderId="5" xfId="0" applyFont="1" applyFill="1" applyBorder="1" applyAlignment="1">
      <alignment horizontal="center" vertical="center"/>
    </xf>
    <xf numFmtId="1" fontId="5" fillId="9" borderId="1" xfId="0" applyNumberFormat="1" applyFont="1" applyFill="1" applyBorder="1" applyAlignment="1">
      <alignment horizontal="center" vertical="center" wrapText="1" shrinkToFit="1"/>
    </xf>
    <xf numFmtId="0" fontId="5" fillId="9" borderId="1" xfId="0" applyFont="1" applyFill="1" applyBorder="1"/>
    <xf numFmtId="165" fontId="5" fillId="9" borderId="1" xfId="0" applyNumberFormat="1" applyFont="1" applyFill="1" applyBorder="1" applyAlignment="1">
      <alignment horizontal="center" vertical="center" wrapText="1" shrinkToFit="1"/>
    </xf>
    <xf numFmtId="4" fontId="5" fillId="9" borderId="1" xfId="0" applyNumberFormat="1" applyFont="1" applyFill="1" applyBorder="1" applyAlignment="1">
      <alignment horizontal="center" vertical="center" wrapText="1" shrinkToFit="1"/>
    </xf>
    <xf numFmtId="164" fontId="19" fillId="0" borderId="5" xfId="0" applyNumberFormat="1" applyFont="1" applyFill="1" applyBorder="1"/>
    <xf numFmtId="1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49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2" fontId="5" fillId="0" borderId="1" xfId="0" applyNumberFormat="1" applyFont="1" applyFill="1" applyBorder="1" applyAlignment="1">
      <alignment horizontal="center" vertical="center" wrapText="1" shrinkToFit="1"/>
    </xf>
    <xf numFmtId="0" fontId="18" fillId="0" borderId="0" xfId="0" applyFont="1" applyFill="1"/>
    <xf numFmtId="1" fontId="19" fillId="0" borderId="1" xfId="0" applyNumberFormat="1" applyFont="1" applyFill="1" applyBorder="1" applyAlignment="1">
      <alignment horizontal="center" vertical="center" wrapText="1" shrinkToFit="1"/>
    </xf>
    <xf numFmtId="164" fontId="10" fillId="0" borderId="1" xfId="0" applyNumberFormat="1" applyFont="1" applyFill="1" applyBorder="1"/>
    <xf numFmtId="1" fontId="5" fillId="0" borderId="1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2" fontId="5" fillId="0" borderId="1" xfId="0" applyNumberFormat="1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49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2" fontId="5" fillId="0" borderId="1" xfId="0" applyNumberFormat="1" applyFont="1" applyFill="1" applyBorder="1" applyAlignment="1">
      <alignment horizontal="center" vertical="center" wrapText="1" shrinkToFit="1"/>
    </xf>
    <xf numFmtId="49" fontId="27" fillId="0" borderId="1" xfId="0" applyNumberFormat="1" applyFont="1" applyFill="1" applyBorder="1" applyAlignment="1">
      <alignment horizontal="center" vertical="center" wrapText="1" shrinkToFit="1"/>
    </xf>
    <xf numFmtId="0" fontId="27" fillId="0" borderId="1" xfId="0" applyFont="1" applyFill="1" applyBorder="1" applyAlignment="1">
      <alignment horizontal="center" vertical="center" wrapText="1" shrinkToFit="1"/>
    </xf>
    <xf numFmtId="0" fontId="27" fillId="0" borderId="1" xfId="0" applyFont="1" applyFill="1" applyBorder="1" applyAlignment="1">
      <alignment horizontal="center" wrapText="1"/>
    </xf>
    <xf numFmtId="2" fontId="27" fillId="0" borderId="1" xfId="0" applyNumberFormat="1" applyFont="1" applyFill="1" applyBorder="1" applyAlignment="1">
      <alignment horizontal="left" vertical="center" wrapText="1" shrinkToFit="1"/>
    </xf>
    <xf numFmtId="1" fontId="27" fillId="0" borderId="1" xfId="0" applyNumberFormat="1" applyFont="1" applyFill="1" applyBorder="1" applyAlignment="1">
      <alignment horizontal="center" vertical="center" wrapText="1" shrinkToFit="1"/>
    </xf>
    <xf numFmtId="4" fontId="27" fillId="0" borderId="1" xfId="0" applyNumberFormat="1" applyFont="1" applyFill="1" applyBorder="1" applyAlignment="1">
      <alignment horizontal="center" vertical="center" wrapText="1" shrinkToFit="1"/>
    </xf>
    <xf numFmtId="9" fontId="27" fillId="0" borderId="1" xfId="1" applyFont="1" applyFill="1" applyBorder="1" applyAlignment="1">
      <alignment horizontal="center" vertical="center" wrapText="1" shrinkToFit="1"/>
    </xf>
    <xf numFmtId="0" fontId="28" fillId="0" borderId="1" xfId="0" applyFont="1" applyFill="1" applyBorder="1" applyAlignment="1">
      <alignment horizontal="center" vertical="center"/>
    </xf>
    <xf numFmtId="164" fontId="29" fillId="0" borderId="1" xfId="0" applyNumberFormat="1" applyFont="1" applyFill="1" applyBorder="1"/>
    <xf numFmtId="0" fontId="29" fillId="0" borderId="0" xfId="0" applyFont="1" applyFill="1"/>
    <xf numFmtId="4" fontId="5" fillId="0" borderId="0" xfId="0" applyNumberFormat="1" applyFont="1" applyFill="1"/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2" fontId="5" fillId="0" borderId="7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49" fontId="5" fillId="0" borderId="6" xfId="0" applyNumberFormat="1" applyFont="1" applyFill="1" applyBorder="1" applyAlignment="1">
      <alignment horizontal="center" vertical="center" wrapText="1" shrinkToFit="1"/>
    </xf>
    <xf numFmtId="49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0" fontId="5" fillId="0" borderId="6" xfId="0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49" fontId="5" fillId="0" borderId="5" xfId="0" applyNumberFormat="1" applyFont="1" applyFill="1" applyBorder="1" applyAlignment="1">
      <alignment horizontal="center" vertical="center" wrapText="1" shrinkToFit="1"/>
    </xf>
    <xf numFmtId="49" fontId="5" fillId="0" borderId="6" xfId="0" applyNumberFormat="1" applyFont="1" applyFill="1" applyBorder="1" applyAlignment="1">
      <alignment horizontal="center" vertical="center" wrapText="1" shrinkToFit="1"/>
    </xf>
    <xf numFmtId="49" fontId="5" fillId="0" borderId="7" xfId="0" applyNumberFormat="1" applyFont="1" applyFill="1" applyBorder="1" applyAlignment="1">
      <alignment horizontal="center" vertical="center" wrapText="1" shrinkToFit="1"/>
    </xf>
    <xf numFmtId="1" fontId="5" fillId="0" borderId="5" xfId="0" applyNumberFormat="1" applyFont="1" applyFill="1" applyBorder="1" applyAlignment="1">
      <alignment horizontal="center" vertical="center" wrapText="1" shrinkToFit="1"/>
    </xf>
    <xf numFmtId="1" fontId="5" fillId="0" borderId="6" xfId="0" applyNumberFormat="1" applyFont="1" applyFill="1" applyBorder="1" applyAlignment="1">
      <alignment horizontal="center" vertical="center" wrapText="1" shrinkToFit="1"/>
    </xf>
    <xf numFmtId="1" fontId="5" fillId="0" borderId="7" xfId="0" applyNumberFormat="1" applyFont="1" applyFill="1" applyBorder="1" applyAlignment="1">
      <alignment horizontal="center" vertical="center" wrapText="1" shrinkToFit="1"/>
    </xf>
    <xf numFmtId="2" fontId="5" fillId="0" borderId="5" xfId="0" applyNumberFormat="1" applyFont="1" applyFill="1" applyBorder="1" applyAlignment="1">
      <alignment horizontal="center" vertical="center" wrapText="1" shrinkToFit="1"/>
    </xf>
    <xf numFmtId="2" fontId="5" fillId="0" borderId="6" xfId="0" applyNumberFormat="1" applyFont="1" applyFill="1" applyBorder="1" applyAlignment="1">
      <alignment horizontal="center" vertical="center" wrapText="1" shrinkToFit="1"/>
    </xf>
    <xf numFmtId="2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5" xfId="0" applyFont="1" applyFill="1" applyBorder="1" applyAlignment="1">
      <alignment horizontal="center" vertical="center" wrapText="1" shrinkToFit="1"/>
    </xf>
    <xf numFmtId="0" fontId="5" fillId="0" borderId="6" xfId="0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49" fontId="21" fillId="0" borderId="3" xfId="0" applyNumberFormat="1" applyFont="1" applyFill="1" applyBorder="1" applyAlignment="1">
      <alignment horizontal="center" vertical="center" wrapText="1" shrinkToFit="1"/>
    </xf>
    <xf numFmtId="49" fontId="21" fillId="0" borderId="4" xfId="0" applyNumberFormat="1" applyFont="1" applyFill="1" applyBorder="1" applyAlignment="1">
      <alignment horizontal="center" vertical="center" wrapText="1" shrinkToFit="1"/>
    </xf>
    <xf numFmtId="49" fontId="21" fillId="0" borderId="2" xfId="0" applyNumberFormat="1" applyFont="1" applyFill="1" applyBorder="1" applyAlignment="1">
      <alignment horizontal="center" vertical="center" wrapText="1" shrinkToFit="1"/>
    </xf>
    <xf numFmtId="0" fontId="11" fillId="3" borderId="3" xfId="0" quotePrefix="1" applyFont="1" applyFill="1" applyBorder="1" applyAlignment="1">
      <alignment horizontal="center" vertical="center"/>
    </xf>
    <xf numFmtId="0" fontId="11" fillId="3" borderId="4" xfId="0" quotePrefix="1" applyFont="1" applyFill="1" applyBorder="1" applyAlignment="1">
      <alignment horizontal="center" vertical="center"/>
    </xf>
    <xf numFmtId="0" fontId="11" fillId="3" borderId="2" xfId="0" quotePrefix="1" applyFont="1" applyFill="1" applyBorder="1" applyAlignment="1">
      <alignment horizontal="center" vertical="center"/>
    </xf>
    <xf numFmtId="0" fontId="5" fillId="3" borderId="3" xfId="0" quotePrefix="1" applyFont="1" applyFill="1" applyBorder="1" applyAlignment="1">
      <alignment horizontal="center" vertical="center"/>
    </xf>
    <xf numFmtId="0" fontId="5" fillId="3" borderId="4" xfId="0" quotePrefix="1" applyFont="1" applyFill="1" applyBorder="1" applyAlignment="1">
      <alignment horizontal="center" vertical="center"/>
    </xf>
    <xf numFmtId="0" fontId="5" fillId="3" borderId="2" xfId="0" quotePrefix="1" applyFont="1" applyFill="1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49" fontId="5" fillId="0" borderId="5" xfId="0" quotePrefix="1" applyNumberFormat="1" applyFont="1" applyFill="1" applyBorder="1" applyAlignment="1">
      <alignment horizontal="center" vertical="center" wrapText="1" shrinkToFit="1"/>
    </xf>
    <xf numFmtId="49" fontId="5" fillId="0" borderId="6" xfId="0" quotePrefix="1" applyNumberFormat="1" applyFont="1" applyFill="1" applyBorder="1" applyAlignment="1">
      <alignment horizontal="center" vertical="center" wrapText="1" shrinkToFit="1"/>
    </xf>
    <xf numFmtId="49" fontId="5" fillId="0" borderId="7" xfId="0" quotePrefix="1" applyNumberFormat="1" applyFont="1" applyFill="1" applyBorder="1" applyAlignment="1">
      <alignment horizontal="center" vertical="center" wrapText="1" shrinkToFit="1"/>
    </xf>
    <xf numFmtId="0" fontId="5" fillId="0" borderId="6" xfId="0" quotePrefix="1" applyFont="1" applyFill="1" applyBorder="1" applyAlignment="1">
      <alignment horizontal="center" vertical="center" wrapText="1" shrinkToFit="1"/>
    </xf>
    <xf numFmtId="49" fontId="25" fillId="0" borderId="8" xfId="0" quotePrefix="1" applyNumberFormat="1" applyFont="1" applyFill="1" applyBorder="1" applyAlignment="1">
      <alignment horizontal="center" vertical="center" wrapText="1" shrinkToFit="1"/>
    </xf>
    <xf numFmtId="49" fontId="25" fillId="0" borderId="4" xfId="0" quotePrefix="1" applyNumberFormat="1" applyFont="1" applyFill="1" applyBorder="1" applyAlignment="1">
      <alignment horizontal="center" vertical="center" wrapText="1" shrinkToFit="1"/>
    </xf>
    <xf numFmtId="49" fontId="25" fillId="0" borderId="2" xfId="0" quotePrefix="1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 shrinkToFit="1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/>
    </xf>
    <xf numFmtId="1" fontId="5" fillId="0" borderId="6" xfId="0" quotePrefix="1" applyNumberFormat="1" applyFont="1" applyFill="1" applyBorder="1" applyAlignment="1">
      <alignment horizontal="center" vertical="center" wrapText="1" shrinkToFit="1"/>
    </xf>
    <xf numFmtId="1" fontId="5" fillId="0" borderId="7" xfId="0" quotePrefix="1" applyNumberFormat="1" applyFont="1" applyFill="1" applyBorder="1" applyAlignment="1">
      <alignment horizontal="center" vertical="center" wrapText="1" shrinkToFit="1"/>
    </xf>
    <xf numFmtId="49" fontId="25" fillId="0" borderId="3" xfId="0" quotePrefix="1" applyNumberFormat="1" applyFont="1" applyFill="1" applyBorder="1" applyAlignment="1">
      <alignment horizontal="center" vertical="center" wrapText="1" shrinkToFit="1"/>
    </xf>
    <xf numFmtId="49" fontId="25" fillId="0" borderId="12" xfId="0" quotePrefix="1" applyNumberFormat="1" applyFont="1" applyFill="1" applyBorder="1" applyAlignment="1">
      <alignment horizontal="center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 shrinkToFit="1"/>
    </xf>
    <xf numFmtId="0" fontId="9" fillId="4" borderId="4" xfId="0" applyFont="1" applyFill="1" applyBorder="1" applyAlignment="1">
      <alignment horizontal="center" vertical="center" wrapText="1" shrinkToFit="1"/>
    </xf>
    <xf numFmtId="49" fontId="5" fillId="3" borderId="3" xfId="0" applyNumberFormat="1" applyFont="1" applyFill="1" applyBorder="1" applyAlignment="1">
      <alignment horizontal="center" vertical="center" wrapText="1" shrinkToFit="1"/>
    </xf>
    <xf numFmtId="49" fontId="5" fillId="3" borderId="4" xfId="0" applyNumberFormat="1" applyFont="1" applyFill="1" applyBorder="1" applyAlignment="1">
      <alignment horizontal="center" vertical="center" wrapText="1" shrinkToFit="1"/>
    </xf>
    <xf numFmtId="49" fontId="5" fillId="3" borderId="2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/>
    </xf>
    <xf numFmtId="0" fontId="5" fillId="0" borderId="6" xfId="0" quotePrefix="1" applyFont="1" applyFill="1" applyBorder="1" applyAlignment="1">
      <alignment horizontal="center" vertical="center" wrapText="1"/>
    </xf>
    <xf numFmtId="0" fontId="5" fillId="0" borderId="7" xfId="0" quotePrefix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4" fontId="5" fillId="0" borderId="5" xfId="0" applyNumberFormat="1" applyFont="1" applyFill="1" applyBorder="1" applyAlignment="1">
      <alignment horizontal="center" vertical="center" wrapText="1" shrinkToFit="1"/>
    </xf>
    <xf numFmtId="4" fontId="5" fillId="0" borderId="7" xfId="0" applyNumberFormat="1" applyFont="1" applyFill="1" applyBorder="1" applyAlignment="1">
      <alignment horizontal="center" vertical="center" wrapText="1" shrinkToFit="1"/>
    </xf>
    <xf numFmtId="9" fontId="5" fillId="0" borderId="5" xfId="1" applyFont="1" applyFill="1" applyBorder="1" applyAlignment="1">
      <alignment horizontal="center" vertical="center" wrapText="1" shrinkToFit="1"/>
    </xf>
    <xf numFmtId="9" fontId="5" fillId="0" borderId="7" xfId="1" applyFont="1" applyFill="1" applyBorder="1" applyAlignment="1">
      <alignment horizontal="center" vertical="center" wrapText="1" shrinkToFit="1"/>
    </xf>
    <xf numFmtId="0" fontId="5" fillId="0" borderId="5" xfId="0" applyFont="1" applyFill="1" applyBorder="1" applyAlignment="1">
      <alignment horizontal="left" vertical="center" wrapText="1" shrinkToFit="1"/>
    </xf>
    <xf numFmtId="0" fontId="5" fillId="0" borderId="7" xfId="0" applyFont="1" applyFill="1" applyBorder="1" applyAlignment="1">
      <alignment horizontal="left" vertical="center" wrapText="1" shrinkToFi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1" fontId="14" fillId="4" borderId="3" xfId="0" applyNumberFormat="1" applyFont="1" applyFill="1" applyBorder="1" applyAlignment="1">
      <alignment horizontal="center" vertical="center" wrapText="1" shrinkToFit="1"/>
    </xf>
    <xf numFmtId="1" fontId="14" fillId="4" borderId="4" xfId="0" applyNumberFormat="1" applyFont="1" applyFill="1" applyBorder="1" applyAlignment="1">
      <alignment horizontal="center" vertical="center" wrapText="1" shrinkToFit="1"/>
    </xf>
    <xf numFmtId="1" fontId="14" fillId="4" borderId="2" xfId="0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2" fontId="5" fillId="0" borderId="1" xfId="0" applyNumberFormat="1" applyFont="1" applyFill="1" applyBorder="1" applyAlignment="1">
      <alignment horizontal="center" vertical="center" wrapText="1" shrinkToFit="1"/>
    </xf>
    <xf numFmtId="1" fontId="5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Border="1" applyAlignment="1">
      <alignment horizontal="center"/>
    </xf>
  </cellXfs>
  <cellStyles count="2">
    <cellStyle name="Відсотковий" xfId="1" builtinId="5"/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86"/>
  <sheetViews>
    <sheetView tabSelected="1" view="pageBreakPreview" topLeftCell="A268" zoomScale="84" zoomScaleNormal="75" zoomScaleSheetLayoutView="84" workbookViewId="0">
      <selection activeCell="C280" sqref="C280:G280"/>
    </sheetView>
  </sheetViews>
  <sheetFormatPr defaultColWidth="8.85546875" defaultRowHeight="12.75" x14ac:dyDescent="0.2"/>
  <cols>
    <col min="1" max="1" width="11" style="1" customWidth="1"/>
    <col min="2" max="2" width="10.7109375" style="1" customWidth="1"/>
    <col min="3" max="3" width="12.5703125" style="1" customWidth="1"/>
    <col min="4" max="4" width="59" style="1" customWidth="1"/>
    <col min="5" max="5" width="113.5703125" style="1" customWidth="1"/>
    <col min="6" max="6" width="12.5703125" style="1" customWidth="1"/>
    <col min="7" max="8" width="17.28515625" style="1" customWidth="1"/>
    <col min="9" max="9" width="18.85546875" style="4" customWidth="1"/>
    <col min="10" max="10" width="11.7109375" style="1" customWidth="1"/>
    <col min="11" max="11" width="33.140625" style="1" customWidth="1"/>
    <col min="12" max="12" width="29" style="1" customWidth="1"/>
    <col min="13" max="13" width="27.140625" style="1" customWidth="1"/>
    <col min="14" max="14" width="14.5703125" style="1" customWidth="1"/>
    <col min="15" max="15" width="12.28515625" style="1" customWidth="1"/>
    <col min="16" max="16" width="11.28515625" style="1" bestFit="1" customWidth="1"/>
    <col min="17" max="16384" width="8.85546875" style="1"/>
  </cols>
  <sheetData>
    <row r="1" spans="1:14" ht="15.75" x14ac:dyDescent="0.2">
      <c r="G1" s="316" t="s">
        <v>0</v>
      </c>
      <c r="H1" s="316"/>
      <c r="I1" s="316"/>
      <c r="J1" s="316"/>
    </row>
    <row r="2" spans="1:14" ht="90" customHeight="1" x14ac:dyDescent="0.3">
      <c r="D2" s="18"/>
      <c r="G2" s="352" t="s">
        <v>367</v>
      </c>
      <c r="H2" s="352"/>
      <c r="I2" s="352"/>
      <c r="J2" s="352"/>
    </row>
    <row r="3" spans="1:14" s="2" customFormat="1" ht="23.25" customHeight="1" x14ac:dyDescent="0.2">
      <c r="A3" s="318" t="s">
        <v>1</v>
      </c>
      <c r="B3" s="318"/>
      <c r="C3" s="318"/>
      <c r="D3" s="318"/>
      <c r="E3" s="318"/>
      <c r="F3" s="318"/>
      <c r="G3" s="318"/>
      <c r="H3" s="318"/>
      <c r="I3" s="318"/>
      <c r="J3" s="318"/>
      <c r="K3" s="11"/>
      <c r="L3" s="11"/>
    </row>
    <row r="4" spans="1:14" s="2" customFormat="1" ht="24.75" customHeight="1" x14ac:dyDescent="0.2">
      <c r="A4" s="317" t="s">
        <v>179</v>
      </c>
      <c r="B4" s="317"/>
      <c r="C4" s="317"/>
      <c r="D4" s="317"/>
      <c r="E4" s="317"/>
      <c r="F4" s="317"/>
      <c r="G4" s="317"/>
      <c r="H4" s="317"/>
      <c r="I4" s="317"/>
      <c r="J4" s="317"/>
      <c r="K4" s="11"/>
      <c r="L4" s="11"/>
    </row>
    <row r="5" spans="1:14" ht="93.75" customHeight="1" x14ac:dyDescent="0.2">
      <c r="A5" s="12" t="s">
        <v>181</v>
      </c>
      <c r="B5" s="12" t="s">
        <v>182</v>
      </c>
      <c r="C5" s="12" t="s">
        <v>3</v>
      </c>
      <c r="D5" s="12" t="s">
        <v>183</v>
      </c>
      <c r="E5" s="12" t="s">
        <v>184</v>
      </c>
      <c r="F5" s="12" t="s">
        <v>185</v>
      </c>
      <c r="G5" s="12" t="s">
        <v>186</v>
      </c>
      <c r="H5" s="12" t="s">
        <v>176</v>
      </c>
      <c r="I5" s="12" t="s">
        <v>187</v>
      </c>
      <c r="J5" s="13" t="s">
        <v>178</v>
      </c>
      <c r="K5" s="14"/>
      <c r="L5" s="14"/>
    </row>
    <row r="6" spans="1:14" ht="19.5" x14ac:dyDescent="0.35">
      <c r="A6" s="13">
        <v>1</v>
      </c>
      <c r="B6" s="13">
        <v>2</v>
      </c>
      <c r="C6" s="13">
        <v>3</v>
      </c>
      <c r="D6" s="13">
        <v>4</v>
      </c>
      <c r="E6" s="13">
        <v>5</v>
      </c>
      <c r="F6" s="13">
        <v>6</v>
      </c>
      <c r="G6" s="13">
        <v>7</v>
      </c>
      <c r="H6" s="13">
        <v>8</v>
      </c>
      <c r="I6" s="13">
        <v>9</v>
      </c>
      <c r="J6" s="13">
        <v>10</v>
      </c>
      <c r="K6" s="49" t="s">
        <v>140</v>
      </c>
      <c r="L6" s="49" t="s">
        <v>74</v>
      </c>
      <c r="M6" s="55" t="s">
        <v>139</v>
      </c>
    </row>
    <row r="7" spans="1:14" s="16" customFormat="1" ht="20.25" customHeight="1" x14ac:dyDescent="0.3">
      <c r="A7" s="319" t="s">
        <v>12</v>
      </c>
      <c r="B7" s="320"/>
      <c r="C7" s="320"/>
      <c r="D7" s="320"/>
      <c r="E7" s="320"/>
      <c r="F7" s="78"/>
      <c r="G7" s="17"/>
      <c r="H7" s="17"/>
      <c r="I7" s="98">
        <f>I8+I30+I33+I50+I65+I100+I58+I105+I63+I61+I97</f>
        <v>234223158</v>
      </c>
      <c r="J7" s="10"/>
      <c r="K7" s="65"/>
      <c r="L7" s="67">
        <f>SUM(L10:L106)</f>
        <v>147687279.18000001</v>
      </c>
      <c r="M7" s="68">
        <f>I7-L7</f>
        <v>86535878.819999993</v>
      </c>
    </row>
    <row r="8" spans="1:14" s="5" customFormat="1" ht="15.75" x14ac:dyDescent="0.2">
      <c r="A8" s="85" t="s">
        <v>173</v>
      </c>
      <c r="B8" s="84"/>
      <c r="C8" s="84"/>
      <c r="D8" s="35" t="s">
        <v>9</v>
      </c>
      <c r="E8" s="8"/>
      <c r="F8" s="8" t="s">
        <v>7</v>
      </c>
      <c r="G8" s="88" t="s">
        <v>7</v>
      </c>
      <c r="H8" s="88" t="s">
        <v>177</v>
      </c>
      <c r="I8" s="83">
        <f>SUM(I9:I29)</f>
        <v>40262908.829999998</v>
      </c>
      <c r="J8" s="9" t="s">
        <v>7</v>
      </c>
      <c r="K8" s="66"/>
      <c r="L8" s="111"/>
      <c r="M8" s="66"/>
    </row>
    <row r="9" spans="1:14" s="142" customFormat="1" ht="64.5" customHeight="1" x14ac:dyDescent="0.2">
      <c r="A9" s="238" t="s">
        <v>8</v>
      </c>
      <c r="B9" s="44" t="s">
        <v>15</v>
      </c>
      <c r="C9" s="232" t="s">
        <v>16</v>
      </c>
      <c r="D9" s="237" t="s">
        <v>17</v>
      </c>
      <c r="E9" s="15" t="s">
        <v>356</v>
      </c>
      <c r="F9" s="231">
        <v>2021</v>
      </c>
      <c r="G9" s="86">
        <v>0</v>
      </c>
      <c r="H9" s="141">
        <v>0</v>
      </c>
      <c r="I9" s="86">
        <v>49900</v>
      </c>
      <c r="J9" s="231"/>
      <c r="K9" s="58">
        <v>2218</v>
      </c>
      <c r="L9" s="106">
        <v>0</v>
      </c>
      <c r="M9" s="106">
        <f t="shared" ref="M9" si="0">I9-L9</f>
        <v>49900</v>
      </c>
      <c r="N9" s="142" t="s">
        <v>209</v>
      </c>
    </row>
    <row r="10" spans="1:14" s="142" customFormat="1" ht="18.75" x14ac:dyDescent="0.2">
      <c r="A10" s="202" t="s">
        <v>11</v>
      </c>
      <c r="B10" s="37">
        <v>6030</v>
      </c>
      <c r="C10" s="202" t="s">
        <v>18</v>
      </c>
      <c r="D10" s="206" t="s">
        <v>19</v>
      </c>
      <c r="E10" s="15" t="s">
        <v>10</v>
      </c>
      <c r="F10" s="204">
        <v>2021</v>
      </c>
      <c r="G10" s="86">
        <v>0</v>
      </c>
      <c r="H10" s="141">
        <v>0</v>
      </c>
      <c r="I10" s="86">
        <f>2464211+5750814-4691000-1246084.3-1218000</f>
        <v>1059940.7000000002</v>
      </c>
      <c r="J10" s="204"/>
      <c r="K10" s="58">
        <v>2038</v>
      </c>
      <c r="L10" s="106">
        <f>1059200</f>
        <v>1059200</v>
      </c>
      <c r="M10" s="106">
        <f>I10-L10</f>
        <v>740.70000000018626</v>
      </c>
    </row>
    <row r="11" spans="1:14" s="142" customFormat="1" ht="51.75" customHeight="1" x14ac:dyDescent="0.2">
      <c r="A11" s="202" t="s">
        <v>58</v>
      </c>
      <c r="B11" s="37">
        <v>6040</v>
      </c>
      <c r="C11" s="202" t="s">
        <v>60</v>
      </c>
      <c r="D11" s="206" t="s">
        <v>59</v>
      </c>
      <c r="E11" s="15" t="s">
        <v>61</v>
      </c>
      <c r="F11" s="204">
        <v>2021</v>
      </c>
      <c r="G11" s="86">
        <v>5261884</v>
      </c>
      <c r="H11" s="141">
        <v>0</v>
      </c>
      <c r="I11" s="86">
        <v>1985175</v>
      </c>
      <c r="J11" s="204"/>
      <c r="K11" s="58">
        <v>2041</v>
      </c>
      <c r="L11" s="106"/>
      <c r="M11" s="106">
        <f>I11-L11</f>
        <v>1985175</v>
      </c>
    </row>
    <row r="12" spans="1:14" s="142" customFormat="1" ht="31.5" x14ac:dyDescent="0.2">
      <c r="A12" s="232" t="s">
        <v>159</v>
      </c>
      <c r="B12" s="37">
        <v>6082</v>
      </c>
      <c r="C12" s="232" t="s">
        <v>32</v>
      </c>
      <c r="D12" s="239" t="s">
        <v>160</v>
      </c>
      <c r="E12" s="15" t="s">
        <v>161</v>
      </c>
      <c r="F12" s="231">
        <v>2021</v>
      </c>
      <c r="G12" s="86">
        <v>4895627</v>
      </c>
      <c r="H12" s="141">
        <v>0</v>
      </c>
      <c r="I12" s="86">
        <f>1486688+240000</f>
        <v>1726688</v>
      </c>
      <c r="J12" s="231"/>
      <c r="K12" s="58">
        <v>2115</v>
      </c>
      <c r="L12" s="106"/>
      <c r="M12" s="106">
        <f>I12-L12</f>
        <v>1726688</v>
      </c>
    </row>
    <row r="13" spans="1:14" s="190" customFormat="1" ht="18.75" x14ac:dyDescent="0.25">
      <c r="A13" s="325" t="s">
        <v>119</v>
      </c>
      <c r="B13" s="306">
        <v>7330</v>
      </c>
      <c r="C13" s="270" t="s">
        <v>5</v>
      </c>
      <c r="D13" s="282" t="s">
        <v>118</v>
      </c>
      <c r="E13" s="54" t="s">
        <v>40</v>
      </c>
      <c r="F13" s="204">
        <v>2021</v>
      </c>
      <c r="G13" s="86">
        <v>0</v>
      </c>
      <c r="H13" s="141">
        <v>0</v>
      </c>
      <c r="I13" s="86">
        <f>2000000-414152-524756.17-500000</f>
        <v>561091.83000000007</v>
      </c>
      <c r="J13" s="54"/>
      <c r="K13" s="58">
        <v>2027</v>
      </c>
      <c r="L13" s="209"/>
      <c r="M13" s="106">
        <f t="shared" ref="M13:M20" si="1">I13-L13</f>
        <v>561091.83000000007</v>
      </c>
    </row>
    <row r="14" spans="1:14" s="142" customFormat="1" ht="46.5" customHeight="1" x14ac:dyDescent="0.2">
      <c r="A14" s="325"/>
      <c r="B14" s="306"/>
      <c r="C14" s="270"/>
      <c r="D14" s="282"/>
      <c r="E14" s="15" t="s">
        <v>337</v>
      </c>
      <c r="F14" s="204" t="s">
        <v>180</v>
      </c>
      <c r="G14" s="86">
        <v>25000000</v>
      </c>
      <c r="H14" s="141">
        <v>0</v>
      </c>
      <c r="I14" s="86">
        <v>498976</v>
      </c>
      <c r="J14" s="204"/>
      <c r="K14" s="58">
        <v>2158</v>
      </c>
      <c r="L14" s="62">
        <v>495184</v>
      </c>
      <c r="M14" s="106">
        <f t="shared" si="1"/>
        <v>3792</v>
      </c>
    </row>
    <row r="15" spans="1:14" s="142" customFormat="1" ht="54.75" customHeight="1" x14ac:dyDescent="0.2">
      <c r="A15" s="325"/>
      <c r="B15" s="306"/>
      <c r="C15" s="270"/>
      <c r="D15" s="282"/>
      <c r="E15" s="15" t="s">
        <v>338</v>
      </c>
      <c r="F15" s="226">
        <v>2021</v>
      </c>
      <c r="G15" s="86">
        <v>198000</v>
      </c>
      <c r="H15" s="141">
        <v>0</v>
      </c>
      <c r="I15" s="86">
        <v>198000</v>
      </c>
      <c r="J15" s="226"/>
      <c r="K15" s="58">
        <v>2208</v>
      </c>
      <c r="L15" s="106"/>
      <c r="M15" s="106"/>
    </row>
    <row r="16" spans="1:14" s="142" customFormat="1" ht="47.25" x14ac:dyDescent="0.25">
      <c r="A16" s="326"/>
      <c r="B16" s="307"/>
      <c r="C16" s="271"/>
      <c r="D16" s="283"/>
      <c r="E16" s="33" t="s">
        <v>334</v>
      </c>
      <c r="F16" s="222">
        <v>2021</v>
      </c>
      <c r="G16" s="86">
        <v>49990</v>
      </c>
      <c r="H16" s="141">
        <v>0</v>
      </c>
      <c r="I16" s="86">
        <v>49990</v>
      </c>
      <c r="J16" s="222"/>
      <c r="K16" s="58">
        <v>2207</v>
      </c>
      <c r="L16" s="62">
        <v>48039</v>
      </c>
      <c r="M16" s="106">
        <f t="shared" si="1"/>
        <v>1951</v>
      </c>
    </row>
    <row r="17" spans="1:52" s="190" customFormat="1" ht="47.25" x14ac:dyDescent="0.25">
      <c r="A17" s="251" t="s">
        <v>188</v>
      </c>
      <c r="B17" s="237">
        <v>7361</v>
      </c>
      <c r="C17" s="232" t="s">
        <v>5</v>
      </c>
      <c r="D17" s="234" t="s">
        <v>189</v>
      </c>
      <c r="E17" s="96" t="s">
        <v>151</v>
      </c>
      <c r="F17" s="231">
        <v>2021</v>
      </c>
      <c r="G17" s="86">
        <v>25999836</v>
      </c>
      <c r="H17" s="141">
        <v>0</v>
      </c>
      <c r="I17" s="86">
        <f>7799951+2777364.3-170000</f>
        <v>10407315.300000001</v>
      </c>
      <c r="J17" s="54"/>
      <c r="K17" s="58">
        <v>2005</v>
      </c>
      <c r="L17" s="191">
        <f>2120557+2629120.33+820797.19+562890.26+4141064.01+130950</f>
        <v>10405378.789999999</v>
      </c>
      <c r="M17" s="106">
        <f t="shared" si="1"/>
        <v>1936.5100000016391</v>
      </c>
    </row>
    <row r="18" spans="1:52" s="142" customFormat="1" ht="31.5" x14ac:dyDescent="0.2">
      <c r="A18" s="269" t="s">
        <v>29</v>
      </c>
      <c r="B18" s="278">
        <v>7370</v>
      </c>
      <c r="C18" s="269" t="s">
        <v>5</v>
      </c>
      <c r="D18" s="281" t="s">
        <v>30</v>
      </c>
      <c r="E18" s="104" t="s">
        <v>121</v>
      </c>
      <c r="F18" s="231">
        <v>2021</v>
      </c>
      <c r="G18" s="86">
        <f>I18</f>
        <v>4500000</v>
      </c>
      <c r="H18" s="141">
        <v>0</v>
      </c>
      <c r="I18" s="86">
        <v>4500000</v>
      </c>
      <c r="J18" s="231"/>
      <c r="K18" s="58">
        <v>2002</v>
      </c>
      <c r="L18" s="106">
        <v>4499252</v>
      </c>
      <c r="M18" s="106">
        <f>I18-L18</f>
        <v>748</v>
      </c>
    </row>
    <row r="19" spans="1:52" s="142" customFormat="1" ht="36.75" customHeight="1" x14ac:dyDescent="0.2">
      <c r="A19" s="271"/>
      <c r="B19" s="280"/>
      <c r="C19" s="271"/>
      <c r="D19" s="283"/>
      <c r="E19" s="104" t="s">
        <v>305</v>
      </c>
      <c r="F19" s="231">
        <v>2021</v>
      </c>
      <c r="G19" s="86">
        <v>4725343</v>
      </c>
      <c r="H19" s="141">
        <v>0</v>
      </c>
      <c r="I19" s="86">
        <f>4725343</f>
        <v>4725343</v>
      </c>
      <c r="J19" s="231"/>
      <c r="K19" s="58">
        <v>2190</v>
      </c>
      <c r="L19" s="62">
        <v>4725343</v>
      </c>
      <c r="M19" s="62">
        <f>I19-L19</f>
        <v>0</v>
      </c>
    </row>
    <row r="20" spans="1:52" s="249" customFormat="1" ht="31.5" x14ac:dyDescent="0.25">
      <c r="A20" s="240" t="s">
        <v>4</v>
      </c>
      <c r="B20" s="241">
        <v>7650</v>
      </c>
      <c r="C20" s="240" t="s">
        <v>5</v>
      </c>
      <c r="D20" s="242" t="s">
        <v>13</v>
      </c>
      <c r="E20" s="243" t="s">
        <v>6</v>
      </c>
      <c r="F20" s="244">
        <v>2021</v>
      </c>
      <c r="G20" s="245">
        <v>0</v>
      </c>
      <c r="H20" s="246">
        <v>0</v>
      </c>
      <c r="I20" s="245">
        <f>100000+49990-49900</f>
        <v>100090</v>
      </c>
      <c r="J20" s="244"/>
      <c r="K20" s="247">
        <v>2001</v>
      </c>
      <c r="L20" s="248">
        <f>19300+5000+16000</f>
        <v>40300</v>
      </c>
      <c r="M20" s="248">
        <f t="shared" si="1"/>
        <v>59790</v>
      </c>
    </row>
    <row r="21" spans="1:52" s="142" customFormat="1" ht="31.5" x14ac:dyDescent="0.25">
      <c r="A21" s="303" t="s">
        <v>37</v>
      </c>
      <c r="B21" s="304">
        <v>9770</v>
      </c>
      <c r="C21" s="303" t="s">
        <v>22</v>
      </c>
      <c r="D21" s="324" t="s">
        <v>38</v>
      </c>
      <c r="E21" s="96" t="s">
        <v>46</v>
      </c>
      <c r="F21" s="231" t="s">
        <v>180</v>
      </c>
      <c r="G21" s="86">
        <v>19941203</v>
      </c>
      <c r="H21" s="141">
        <v>0</v>
      </c>
      <c r="I21" s="86">
        <f>1400000+1000000</f>
        <v>2400000</v>
      </c>
      <c r="J21" s="231"/>
      <c r="K21" s="58">
        <v>2006</v>
      </c>
      <c r="L21" s="106">
        <v>2400000</v>
      </c>
      <c r="M21" s="106">
        <f>I21-L21</f>
        <v>0</v>
      </c>
    </row>
    <row r="22" spans="1:52" s="142" customFormat="1" ht="18.75" x14ac:dyDescent="0.25">
      <c r="A22" s="303"/>
      <c r="B22" s="304"/>
      <c r="C22" s="303"/>
      <c r="D22" s="324"/>
      <c r="E22" s="33" t="s">
        <v>52</v>
      </c>
      <c r="F22" s="231">
        <v>2021</v>
      </c>
      <c r="G22" s="86">
        <v>39127000</v>
      </c>
      <c r="H22" s="141">
        <v>0</v>
      </c>
      <c r="I22" s="86">
        <f>2086945-1559533-134953-240000</f>
        <v>152459</v>
      </c>
      <c r="J22" s="231"/>
      <c r="K22" s="58">
        <v>2007</v>
      </c>
      <c r="L22" s="106"/>
      <c r="M22" s="106">
        <f>I22-L22</f>
        <v>152459</v>
      </c>
    </row>
    <row r="23" spans="1:52" s="142" customFormat="1" ht="38.25" customHeight="1" x14ac:dyDescent="0.25">
      <c r="A23" s="303"/>
      <c r="B23" s="304"/>
      <c r="C23" s="303"/>
      <c r="D23" s="324"/>
      <c r="E23" s="33" t="s">
        <v>41</v>
      </c>
      <c r="F23" s="231">
        <v>2021</v>
      </c>
      <c r="G23" s="86">
        <v>9300000</v>
      </c>
      <c r="H23" s="141">
        <v>0</v>
      </c>
      <c r="I23" s="86">
        <f>1395000-410444-299965</f>
        <v>684591</v>
      </c>
      <c r="J23" s="231"/>
      <c r="K23" s="58">
        <v>2011</v>
      </c>
      <c r="L23" s="106"/>
      <c r="M23" s="106">
        <f>I23-L23</f>
        <v>684591</v>
      </c>
    </row>
    <row r="24" spans="1:52" s="142" customFormat="1" ht="35.25" customHeight="1" x14ac:dyDescent="0.25">
      <c r="A24" s="303"/>
      <c r="B24" s="304"/>
      <c r="C24" s="303"/>
      <c r="D24" s="324"/>
      <c r="E24" s="33" t="s">
        <v>39</v>
      </c>
      <c r="F24" s="204" t="s">
        <v>204</v>
      </c>
      <c r="G24" s="86">
        <v>22473283</v>
      </c>
      <c r="H24" s="141">
        <v>0</v>
      </c>
      <c r="I24" s="86">
        <f>4495000-1640211-762788-600000-15500-1469700</f>
        <v>6801</v>
      </c>
      <c r="J24" s="204"/>
      <c r="K24" s="58">
        <v>2013</v>
      </c>
      <c r="L24" s="106"/>
      <c r="M24" s="106">
        <f>I24-L24</f>
        <v>6801</v>
      </c>
    </row>
    <row r="25" spans="1:52" s="142" customFormat="1" ht="36.75" customHeight="1" x14ac:dyDescent="0.25">
      <c r="A25" s="303"/>
      <c r="B25" s="304"/>
      <c r="C25" s="303"/>
      <c r="D25" s="324"/>
      <c r="E25" s="33" t="s">
        <v>66</v>
      </c>
      <c r="F25" s="204" t="s">
        <v>204</v>
      </c>
      <c r="G25" s="86">
        <v>17352090</v>
      </c>
      <c r="H25" s="141">
        <v>0</v>
      </c>
      <c r="I25" s="86">
        <v>3470418</v>
      </c>
      <c r="J25" s="204"/>
      <c r="K25" s="58">
        <v>2047</v>
      </c>
      <c r="L25" s="106">
        <v>3470418</v>
      </c>
      <c r="M25" s="106">
        <f>I25-L25</f>
        <v>0</v>
      </c>
    </row>
    <row r="26" spans="1:52" s="142" customFormat="1" ht="36.75" customHeight="1" x14ac:dyDescent="0.25">
      <c r="A26" s="303"/>
      <c r="B26" s="304"/>
      <c r="C26" s="303"/>
      <c r="D26" s="324"/>
      <c r="E26" s="33" t="s">
        <v>306</v>
      </c>
      <c r="F26" s="204" t="s">
        <v>307</v>
      </c>
      <c r="G26" s="86">
        <v>9823243</v>
      </c>
      <c r="H26" s="141">
        <v>0.65</v>
      </c>
      <c r="I26" s="86">
        <v>1019200</v>
      </c>
      <c r="J26" s="204"/>
      <c r="K26" s="58">
        <v>2191</v>
      </c>
      <c r="L26" s="62">
        <v>1019200</v>
      </c>
      <c r="M26" s="106">
        <f t="shared" ref="M26:M27" si="2">I26-L26</f>
        <v>0</v>
      </c>
    </row>
    <row r="27" spans="1:52" s="142" customFormat="1" ht="36.75" customHeight="1" x14ac:dyDescent="0.25">
      <c r="A27" s="303"/>
      <c r="B27" s="304"/>
      <c r="C27" s="303"/>
      <c r="D27" s="324"/>
      <c r="E27" s="33" t="s">
        <v>308</v>
      </c>
      <c r="F27" s="204" t="s">
        <v>307</v>
      </c>
      <c r="G27" s="86">
        <v>12167077</v>
      </c>
      <c r="H27" s="141">
        <v>0.7</v>
      </c>
      <c r="I27" s="86">
        <v>5373652</v>
      </c>
      <c r="J27" s="204"/>
      <c r="K27" s="58">
        <v>2192</v>
      </c>
      <c r="L27" s="62">
        <v>5373652</v>
      </c>
      <c r="M27" s="106">
        <f t="shared" si="2"/>
        <v>0</v>
      </c>
    </row>
    <row r="28" spans="1:52" s="142" customFormat="1" ht="30" customHeight="1" x14ac:dyDescent="0.25">
      <c r="A28" s="303"/>
      <c r="B28" s="304"/>
      <c r="C28" s="303"/>
      <c r="D28" s="324"/>
      <c r="E28" s="33" t="s">
        <v>241</v>
      </c>
      <c r="F28" s="30">
        <v>2021</v>
      </c>
      <c r="G28" s="86">
        <v>1124558</v>
      </c>
      <c r="H28" s="141">
        <v>0</v>
      </c>
      <c r="I28" s="86">
        <v>1124558</v>
      </c>
      <c r="J28" s="30"/>
      <c r="K28" s="58">
        <v>2130</v>
      </c>
      <c r="L28" s="106">
        <v>1124558</v>
      </c>
      <c r="M28" s="106">
        <f>I28-L28</f>
        <v>0</v>
      </c>
    </row>
    <row r="29" spans="1:52" s="142" customFormat="1" ht="30" customHeight="1" x14ac:dyDescent="0.25">
      <c r="A29" s="183" t="s">
        <v>297</v>
      </c>
      <c r="B29" s="184">
        <v>8110</v>
      </c>
      <c r="C29" s="183" t="s">
        <v>94</v>
      </c>
      <c r="D29" s="172" t="s">
        <v>298</v>
      </c>
      <c r="E29" s="33" t="s">
        <v>10</v>
      </c>
      <c r="F29" s="30">
        <v>2021</v>
      </c>
      <c r="G29" s="86">
        <v>0</v>
      </c>
      <c r="H29" s="141">
        <v>0</v>
      </c>
      <c r="I29" s="86">
        <v>168720</v>
      </c>
      <c r="J29" s="30"/>
      <c r="K29" s="58">
        <v>2181</v>
      </c>
      <c r="L29" s="62">
        <v>168720</v>
      </c>
      <c r="M29" s="106"/>
    </row>
    <row r="30" spans="1:52" s="149" customFormat="1" ht="15.75" x14ac:dyDescent="0.2">
      <c r="A30" s="321"/>
      <c r="B30" s="322"/>
      <c r="C30" s="323"/>
      <c r="D30" s="39" t="s">
        <v>75</v>
      </c>
      <c r="E30" s="146"/>
      <c r="F30" s="43" t="s">
        <v>7</v>
      </c>
      <c r="G30" s="82" t="s">
        <v>7</v>
      </c>
      <c r="H30" s="82" t="s">
        <v>7</v>
      </c>
      <c r="I30" s="82">
        <f>SUM(I31:I32)</f>
        <v>2013486</v>
      </c>
      <c r="J30" s="43" t="s">
        <v>7</v>
      </c>
      <c r="K30" s="147"/>
      <c r="L30" s="147"/>
      <c r="M30" s="147"/>
      <c r="N30" s="148"/>
      <c r="O30" s="148"/>
      <c r="P30" s="148"/>
      <c r="Q30" s="148"/>
      <c r="R30" s="148"/>
      <c r="S30" s="148"/>
      <c r="T30" s="148"/>
      <c r="U30" s="148"/>
      <c r="V30" s="148"/>
      <c r="W30" s="148"/>
      <c r="X30" s="148"/>
      <c r="Y30" s="148"/>
      <c r="Z30" s="148"/>
      <c r="AA30" s="148"/>
      <c r="AB30" s="148"/>
      <c r="AC30" s="148"/>
      <c r="AD30" s="148"/>
      <c r="AE30" s="148"/>
      <c r="AF30" s="148"/>
      <c r="AG30" s="148"/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</row>
    <row r="31" spans="1:52" s="142" customFormat="1" ht="39.75" customHeight="1" x14ac:dyDescent="0.2">
      <c r="A31" s="269" t="s">
        <v>25</v>
      </c>
      <c r="B31" s="278">
        <v>7441</v>
      </c>
      <c r="C31" s="269" t="s">
        <v>20</v>
      </c>
      <c r="D31" s="305" t="s">
        <v>26</v>
      </c>
      <c r="E31" s="104" t="s">
        <v>77</v>
      </c>
      <c r="F31" s="204">
        <v>2021</v>
      </c>
      <c r="G31" s="86">
        <f>I31</f>
        <v>1250698</v>
      </c>
      <c r="H31" s="141">
        <v>0</v>
      </c>
      <c r="I31" s="86">
        <f>1488000-87302-150000</f>
        <v>1250698</v>
      </c>
      <c r="J31" s="208"/>
      <c r="K31" s="58">
        <v>2018</v>
      </c>
      <c r="L31" s="62">
        <f>109605.01+537394.99</f>
        <v>647000</v>
      </c>
      <c r="M31" s="106">
        <f>I31-L31</f>
        <v>603698</v>
      </c>
    </row>
    <row r="32" spans="1:52" s="142" customFormat="1" ht="66.75" customHeight="1" x14ac:dyDescent="0.2">
      <c r="A32" s="271"/>
      <c r="B32" s="280"/>
      <c r="C32" s="271"/>
      <c r="D32" s="307"/>
      <c r="E32" s="104" t="s">
        <v>81</v>
      </c>
      <c r="F32" s="30">
        <v>2021</v>
      </c>
      <c r="G32" s="86">
        <f>I32</f>
        <v>762788</v>
      </c>
      <c r="H32" s="141">
        <v>0</v>
      </c>
      <c r="I32" s="86">
        <v>762788</v>
      </c>
      <c r="J32" s="30"/>
      <c r="K32" s="58">
        <v>2049</v>
      </c>
      <c r="L32" s="106"/>
      <c r="M32" s="106">
        <f>I32-L32</f>
        <v>762788</v>
      </c>
    </row>
    <row r="33" spans="1:13" s="150" customFormat="1" ht="15.75" x14ac:dyDescent="0.25">
      <c r="A33" s="321"/>
      <c r="B33" s="322"/>
      <c r="C33" s="323"/>
      <c r="D33" s="39" t="s">
        <v>95</v>
      </c>
      <c r="E33" s="36"/>
      <c r="F33" s="43" t="s">
        <v>7</v>
      </c>
      <c r="G33" s="82" t="s">
        <v>7</v>
      </c>
      <c r="H33" s="82" t="s">
        <v>7</v>
      </c>
      <c r="I33" s="82">
        <f>SUM(I34:I49)</f>
        <v>16443122.17</v>
      </c>
      <c r="J33" s="43" t="s">
        <v>7</v>
      </c>
      <c r="K33" s="147"/>
      <c r="L33" s="147"/>
      <c r="M33" s="147"/>
    </row>
    <row r="34" spans="1:13" s="142" customFormat="1" ht="18.75" x14ac:dyDescent="0.25">
      <c r="A34" s="269" t="s">
        <v>11</v>
      </c>
      <c r="B34" s="272">
        <v>6030</v>
      </c>
      <c r="C34" s="269" t="s">
        <v>18</v>
      </c>
      <c r="D34" s="275" t="s">
        <v>19</v>
      </c>
      <c r="E34" s="33" t="s">
        <v>27</v>
      </c>
      <c r="F34" s="226">
        <v>2021</v>
      </c>
      <c r="G34" s="86">
        <f>I34</f>
        <v>8900</v>
      </c>
      <c r="H34" s="141">
        <v>0</v>
      </c>
      <c r="I34" s="86">
        <f>391800-382900</f>
        <v>8900</v>
      </c>
      <c r="J34" s="226"/>
      <c r="K34" s="58">
        <v>2019</v>
      </c>
      <c r="L34" s="106"/>
      <c r="M34" s="106">
        <f>I34-L34</f>
        <v>8900</v>
      </c>
    </row>
    <row r="35" spans="1:13" s="142" customFormat="1" ht="18.75" x14ac:dyDescent="0.25">
      <c r="A35" s="270"/>
      <c r="B35" s="273"/>
      <c r="C35" s="270"/>
      <c r="D35" s="276"/>
      <c r="E35" s="33" t="s">
        <v>10</v>
      </c>
      <c r="F35" s="231">
        <v>2021</v>
      </c>
      <c r="G35" s="86">
        <v>0</v>
      </c>
      <c r="H35" s="141">
        <v>0</v>
      </c>
      <c r="I35" s="86">
        <f>4691000-1700000-2787000-49990+299965-119487</f>
        <v>334488</v>
      </c>
      <c r="J35" s="231"/>
      <c r="K35" s="58">
        <v>2038</v>
      </c>
      <c r="L35" s="106"/>
      <c r="M35" s="106">
        <f>I35-L35</f>
        <v>334488</v>
      </c>
    </row>
    <row r="36" spans="1:13" s="142" customFormat="1" ht="31.5" x14ac:dyDescent="0.25">
      <c r="A36" s="270"/>
      <c r="B36" s="273"/>
      <c r="C36" s="270"/>
      <c r="D36" s="276"/>
      <c r="E36" s="33" t="s">
        <v>300</v>
      </c>
      <c r="F36" s="204">
        <v>2021</v>
      </c>
      <c r="G36" s="86">
        <v>1343778</v>
      </c>
      <c r="H36" s="141">
        <v>0</v>
      </c>
      <c r="I36" s="86">
        <f t="shared" ref="I36:I41" si="3">G36</f>
        <v>1343778</v>
      </c>
      <c r="J36" s="204"/>
      <c r="K36" s="58">
        <v>2188</v>
      </c>
      <c r="L36" s="62">
        <f>1276354.06+36327</f>
        <v>1312681.06</v>
      </c>
      <c r="M36" s="106">
        <f t="shared" ref="M36:M42" si="4">I36-L36</f>
        <v>31096.939999999944</v>
      </c>
    </row>
    <row r="37" spans="1:13" s="142" customFormat="1" ht="31.5" x14ac:dyDescent="0.25">
      <c r="A37" s="270"/>
      <c r="B37" s="273"/>
      <c r="C37" s="270"/>
      <c r="D37" s="276"/>
      <c r="E37" s="33" t="s">
        <v>301</v>
      </c>
      <c r="F37" s="204">
        <v>2021</v>
      </c>
      <c r="G37" s="86">
        <v>1957530</v>
      </c>
      <c r="H37" s="141">
        <v>0</v>
      </c>
      <c r="I37" s="86">
        <f t="shared" si="3"/>
        <v>1957530</v>
      </c>
      <c r="J37" s="204"/>
      <c r="K37" s="58">
        <v>2166</v>
      </c>
      <c r="L37" s="62">
        <v>1881380.95</v>
      </c>
      <c r="M37" s="106">
        <f t="shared" si="4"/>
        <v>76149.050000000047</v>
      </c>
    </row>
    <row r="38" spans="1:13" s="142" customFormat="1" ht="31.5" x14ac:dyDescent="0.25">
      <c r="A38" s="270"/>
      <c r="B38" s="273"/>
      <c r="C38" s="270"/>
      <c r="D38" s="276"/>
      <c r="E38" s="33" t="s">
        <v>302</v>
      </c>
      <c r="F38" s="204">
        <v>2021</v>
      </c>
      <c r="G38" s="86">
        <v>1983519</v>
      </c>
      <c r="H38" s="141">
        <v>0</v>
      </c>
      <c r="I38" s="86">
        <f t="shared" si="3"/>
        <v>1983519</v>
      </c>
      <c r="J38" s="204"/>
      <c r="K38" s="58">
        <v>2167</v>
      </c>
      <c r="L38" s="62">
        <v>1905186.04</v>
      </c>
      <c r="M38" s="106">
        <f t="shared" si="4"/>
        <v>78332.959999999963</v>
      </c>
    </row>
    <row r="39" spans="1:13" s="142" customFormat="1" ht="31.5" x14ac:dyDescent="0.25">
      <c r="A39" s="270"/>
      <c r="B39" s="273"/>
      <c r="C39" s="270"/>
      <c r="D39" s="276"/>
      <c r="E39" s="33" t="s">
        <v>303</v>
      </c>
      <c r="F39" s="204">
        <v>2021</v>
      </c>
      <c r="G39" s="86">
        <v>2834104</v>
      </c>
      <c r="H39" s="141">
        <v>0</v>
      </c>
      <c r="I39" s="86">
        <f t="shared" si="3"/>
        <v>2834104</v>
      </c>
      <c r="J39" s="204"/>
      <c r="K39" s="58">
        <v>2168</v>
      </c>
      <c r="L39" s="62">
        <f>1712425.57+786527.34</f>
        <v>2498952.91</v>
      </c>
      <c r="M39" s="62">
        <f t="shared" si="4"/>
        <v>335151.08999999985</v>
      </c>
    </row>
    <row r="40" spans="1:13" s="142" customFormat="1" ht="31.5" x14ac:dyDescent="0.25">
      <c r="A40" s="270"/>
      <c r="B40" s="273"/>
      <c r="C40" s="270"/>
      <c r="D40" s="276"/>
      <c r="E40" s="33" t="s">
        <v>347</v>
      </c>
      <c r="F40" s="226">
        <v>2021</v>
      </c>
      <c r="G40" s="86">
        <v>1071553</v>
      </c>
      <c r="H40" s="141">
        <v>0</v>
      </c>
      <c r="I40" s="86">
        <f t="shared" si="3"/>
        <v>1071553</v>
      </c>
      <c r="J40" s="226"/>
      <c r="K40" s="58">
        <v>2215</v>
      </c>
      <c r="L40" s="62">
        <f>381343.3+5633.08</f>
        <v>386976.38</v>
      </c>
      <c r="M40" s="62">
        <f t="shared" si="4"/>
        <v>684576.62</v>
      </c>
    </row>
    <row r="41" spans="1:13" s="142" customFormat="1" ht="18.75" x14ac:dyDescent="0.25">
      <c r="A41" s="270"/>
      <c r="B41" s="273"/>
      <c r="C41" s="270"/>
      <c r="D41" s="276"/>
      <c r="E41" s="33" t="s">
        <v>346</v>
      </c>
      <c r="F41" s="226">
        <v>2021</v>
      </c>
      <c r="G41" s="86">
        <v>382900</v>
      </c>
      <c r="H41" s="141">
        <v>0</v>
      </c>
      <c r="I41" s="86">
        <f t="shared" si="3"/>
        <v>382900</v>
      </c>
      <c r="J41" s="226"/>
      <c r="K41" s="58">
        <v>2214</v>
      </c>
      <c r="L41" s="62"/>
      <c r="M41" s="62">
        <f t="shared" si="4"/>
        <v>382900</v>
      </c>
    </row>
    <row r="42" spans="1:13" s="142" customFormat="1" ht="18.75" x14ac:dyDescent="0.25">
      <c r="A42" s="270"/>
      <c r="B42" s="273"/>
      <c r="C42" s="270"/>
      <c r="D42" s="276"/>
      <c r="E42" s="33" t="s">
        <v>359</v>
      </c>
      <c r="F42" s="231">
        <v>2021</v>
      </c>
      <c r="G42" s="86">
        <v>1502542</v>
      </c>
      <c r="H42" s="141">
        <v>0</v>
      </c>
      <c r="I42" s="86">
        <v>631614</v>
      </c>
      <c r="J42" s="231"/>
      <c r="K42" s="58">
        <v>2220</v>
      </c>
      <c r="L42" s="62">
        <v>631614</v>
      </c>
      <c r="M42" s="62">
        <f t="shared" si="4"/>
        <v>0</v>
      </c>
    </row>
    <row r="43" spans="1:13" s="142" customFormat="1" ht="18.75" x14ac:dyDescent="0.25">
      <c r="A43" s="271"/>
      <c r="B43" s="274"/>
      <c r="C43" s="271"/>
      <c r="D43" s="277"/>
      <c r="E43" s="33" t="s">
        <v>366</v>
      </c>
      <c r="F43" s="268">
        <v>2021</v>
      </c>
      <c r="G43" s="86">
        <v>1818919</v>
      </c>
      <c r="H43" s="141">
        <v>0</v>
      </c>
      <c r="I43" s="86">
        <f>748000+106902</f>
        <v>854902</v>
      </c>
      <c r="J43" s="268"/>
      <c r="K43" s="58">
        <v>2223</v>
      </c>
      <c r="L43" s="62"/>
      <c r="M43" s="62"/>
    </row>
    <row r="44" spans="1:13" s="142" customFormat="1" ht="47.25" customHeight="1" x14ac:dyDescent="0.25">
      <c r="A44" s="344" t="s">
        <v>42</v>
      </c>
      <c r="B44" s="350">
        <v>7461</v>
      </c>
      <c r="C44" s="303" t="s">
        <v>20</v>
      </c>
      <c r="D44" s="351" t="s">
        <v>43</v>
      </c>
      <c r="E44" s="96" t="s">
        <v>169</v>
      </c>
      <c r="F44" s="204">
        <v>2021</v>
      </c>
      <c r="G44" s="86">
        <f>I44</f>
        <v>2500000</v>
      </c>
      <c r="H44" s="141">
        <v>0</v>
      </c>
      <c r="I44" s="86">
        <v>2500000</v>
      </c>
      <c r="J44" s="204"/>
      <c r="K44" s="58">
        <v>2021</v>
      </c>
      <c r="L44" s="106"/>
      <c r="M44" s="106">
        <f>I44-L44</f>
        <v>2500000</v>
      </c>
    </row>
    <row r="45" spans="1:13" s="142" customFormat="1" ht="34.5" customHeight="1" x14ac:dyDescent="0.25">
      <c r="A45" s="344"/>
      <c r="B45" s="350"/>
      <c r="C45" s="303"/>
      <c r="D45" s="351"/>
      <c r="E45" s="96" t="s">
        <v>44</v>
      </c>
      <c r="F45" s="204">
        <v>2021</v>
      </c>
      <c r="G45" s="86">
        <f t="shared" ref="G45:G46" si="5">I45</f>
        <v>480000</v>
      </c>
      <c r="H45" s="141">
        <v>0</v>
      </c>
      <c r="I45" s="86">
        <v>480000</v>
      </c>
      <c r="J45" s="204"/>
      <c r="K45" s="58">
        <v>2022</v>
      </c>
      <c r="L45" s="106"/>
      <c r="M45" s="106">
        <f>I45-L45</f>
        <v>480000</v>
      </c>
    </row>
    <row r="46" spans="1:13" s="142" customFormat="1" ht="36.75" customHeight="1" x14ac:dyDescent="0.25">
      <c r="A46" s="344"/>
      <c r="B46" s="350"/>
      <c r="C46" s="303"/>
      <c r="D46" s="351"/>
      <c r="E46" s="96" t="s">
        <v>170</v>
      </c>
      <c r="F46" s="268">
        <v>2021</v>
      </c>
      <c r="G46" s="86">
        <f t="shared" si="5"/>
        <v>1493098</v>
      </c>
      <c r="H46" s="141">
        <v>0</v>
      </c>
      <c r="I46" s="86">
        <f>1600000-106902</f>
        <v>1493098</v>
      </c>
      <c r="J46" s="268"/>
      <c r="K46" s="58">
        <v>2023</v>
      </c>
      <c r="L46" s="106">
        <f>1493098</f>
        <v>1493098</v>
      </c>
      <c r="M46" s="106">
        <f>I46-L46</f>
        <v>0</v>
      </c>
    </row>
    <row r="47" spans="1:13" s="142" customFormat="1" ht="31.5" x14ac:dyDescent="0.25">
      <c r="A47" s="345" t="s">
        <v>119</v>
      </c>
      <c r="B47" s="324">
        <v>7330</v>
      </c>
      <c r="C47" s="303" t="s">
        <v>24</v>
      </c>
      <c r="D47" s="346" t="s">
        <v>118</v>
      </c>
      <c r="E47" s="33" t="s">
        <v>344</v>
      </c>
      <c r="F47" s="226">
        <v>2021</v>
      </c>
      <c r="G47" s="86">
        <v>233280</v>
      </c>
      <c r="H47" s="141">
        <v>0</v>
      </c>
      <c r="I47" s="86">
        <f>G47</f>
        <v>233280</v>
      </c>
      <c r="J47" s="226"/>
      <c r="K47" s="58">
        <v>2212</v>
      </c>
      <c r="L47" s="62"/>
      <c r="M47" s="106">
        <f>I47-L47</f>
        <v>233280</v>
      </c>
    </row>
    <row r="48" spans="1:13" s="142" customFormat="1" ht="31.5" x14ac:dyDescent="0.25">
      <c r="A48" s="345"/>
      <c r="B48" s="324"/>
      <c r="C48" s="303"/>
      <c r="D48" s="346"/>
      <c r="E48" s="33" t="s">
        <v>345</v>
      </c>
      <c r="F48" s="226">
        <v>2021</v>
      </c>
      <c r="G48" s="86">
        <v>56700</v>
      </c>
      <c r="H48" s="141">
        <v>0</v>
      </c>
      <c r="I48" s="86">
        <f>G48</f>
        <v>56700</v>
      </c>
      <c r="J48" s="226"/>
      <c r="K48" s="58">
        <v>2213</v>
      </c>
      <c r="L48" s="62">
        <v>56700</v>
      </c>
      <c r="M48" s="106">
        <f>I48-L48</f>
        <v>0</v>
      </c>
    </row>
    <row r="49" spans="1:52" s="142" customFormat="1" ht="54.75" customHeight="1" x14ac:dyDescent="0.2">
      <c r="A49" s="345"/>
      <c r="B49" s="324"/>
      <c r="C49" s="303"/>
      <c r="D49" s="346"/>
      <c r="E49" s="15" t="s">
        <v>299</v>
      </c>
      <c r="F49" s="252">
        <v>2021</v>
      </c>
      <c r="G49" s="86">
        <v>276756.17</v>
      </c>
      <c r="H49" s="141">
        <v>0</v>
      </c>
      <c r="I49" s="86">
        <f>G49</f>
        <v>276756.17</v>
      </c>
      <c r="J49" s="252"/>
      <c r="K49" s="58">
        <v>2182</v>
      </c>
      <c r="L49" s="106"/>
      <c r="M49" s="106">
        <f t="shared" ref="M49" si="6">I49-L49</f>
        <v>276756.17</v>
      </c>
    </row>
    <row r="50" spans="1:52" s="149" customFormat="1" ht="15.75" x14ac:dyDescent="0.2">
      <c r="A50" s="321"/>
      <c r="B50" s="322"/>
      <c r="C50" s="323"/>
      <c r="D50" s="39" t="s">
        <v>76</v>
      </c>
      <c r="E50" s="146"/>
      <c r="F50" s="43" t="s">
        <v>7</v>
      </c>
      <c r="G50" s="82" t="s">
        <v>7</v>
      </c>
      <c r="H50" s="82" t="s">
        <v>7</v>
      </c>
      <c r="I50" s="82">
        <f>SUM(I51:I57)</f>
        <v>8179142</v>
      </c>
      <c r="J50" s="43" t="s">
        <v>7</v>
      </c>
      <c r="K50" s="151"/>
      <c r="L50" s="152"/>
      <c r="M50" s="153"/>
      <c r="N50" s="148"/>
      <c r="O50" s="148"/>
      <c r="P50" s="148"/>
      <c r="Q50" s="148"/>
      <c r="R50" s="148"/>
      <c r="S50" s="148"/>
      <c r="T50" s="148"/>
      <c r="U50" s="148"/>
      <c r="V50" s="148"/>
      <c r="W50" s="148"/>
      <c r="X50" s="148"/>
      <c r="Y50" s="148"/>
      <c r="Z50" s="148"/>
      <c r="AA50" s="148"/>
      <c r="AB50" s="148"/>
      <c r="AC50" s="148"/>
      <c r="AD50" s="148"/>
      <c r="AE50" s="148"/>
      <c r="AF50" s="148"/>
      <c r="AG50" s="148"/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</row>
    <row r="51" spans="1:52" s="142" customFormat="1" ht="18.75" x14ac:dyDescent="0.25">
      <c r="A51" s="303" t="s">
        <v>11</v>
      </c>
      <c r="B51" s="304">
        <v>6030</v>
      </c>
      <c r="C51" s="303" t="s">
        <v>18</v>
      </c>
      <c r="D51" s="343" t="s">
        <v>19</v>
      </c>
      <c r="E51" s="33" t="s">
        <v>168</v>
      </c>
      <c r="F51" s="204">
        <v>2021</v>
      </c>
      <c r="G51" s="86">
        <v>8953609</v>
      </c>
      <c r="H51" s="141">
        <v>0</v>
      </c>
      <c r="I51" s="86">
        <f>9000000-37000-3800000</f>
        <v>5163000</v>
      </c>
      <c r="J51" s="204"/>
      <c r="K51" s="58">
        <v>2024</v>
      </c>
      <c r="L51" s="62">
        <f>2546669.15+1134482.92</f>
        <v>3681152.07</v>
      </c>
      <c r="M51" s="106">
        <f>I51-L51</f>
        <v>1481847.9300000002</v>
      </c>
    </row>
    <row r="52" spans="1:52" s="142" customFormat="1" ht="18.75" x14ac:dyDescent="0.25">
      <c r="A52" s="303"/>
      <c r="B52" s="304"/>
      <c r="C52" s="303"/>
      <c r="D52" s="343"/>
      <c r="E52" s="33" t="s">
        <v>167</v>
      </c>
      <c r="F52" s="204">
        <v>2021</v>
      </c>
      <c r="G52" s="86">
        <f t="shared" ref="G52:G54" si="7">I52</f>
        <v>125200</v>
      </c>
      <c r="H52" s="141">
        <v>0</v>
      </c>
      <c r="I52" s="86">
        <v>125200</v>
      </c>
      <c r="J52" s="204"/>
      <c r="K52" s="58">
        <v>2033</v>
      </c>
      <c r="L52" s="106">
        <v>123880.86</v>
      </c>
      <c r="M52" s="106">
        <f>I52-L52</f>
        <v>1319.1399999999994</v>
      </c>
    </row>
    <row r="53" spans="1:52" s="142" customFormat="1" ht="47.25" x14ac:dyDescent="0.25">
      <c r="A53" s="303"/>
      <c r="B53" s="304"/>
      <c r="C53" s="303"/>
      <c r="D53" s="343"/>
      <c r="E53" s="33" t="s">
        <v>166</v>
      </c>
      <c r="F53" s="204">
        <v>2021</v>
      </c>
      <c r="G53" s="86">
        <f t="shared" si="7"/>
        <v>36750</v>
      </c>
      <c r="H53" s="141">
        <v>0</v>
      </c>
      <c r="I53" s="86">
        <v>36750</v>
      </c>
      <c r="J53" s="204"/>
      <c r="K53" s="58">
        <v>2039</v>
      </c>
      <c r="L53" s="106">
        <v>36750</v>
      </c>
      <c r="M53" s="106">
        <f>I53-L53</f>
        <v>0</v>
      </c>
    </row>
    <row r="54" spans="1:52" s="142" customFormat="1" ht="47.25" x14ac:dyDescent="0.25">
      <c r="A54" s="303"/>
      <c r="B54" s="304"/>
      <c r="C54" s="303"/>
      <c r="D54" s="343"/>
      <c r="E54" s="33" t="s">
        <v>165</v>
      </c>
      <c r="F54" s="204">
        <v>2021</v>
      </c>
      <c r="G54" s="86">
        <f t="shared" si="7"/>
        <v>49766</v>
      </c>
      <c r="H54" s="141">
        <v>0</v>
      </c>
      <c r="I54" s="86">
        <v>49766</v>
      </c>
      <c r="J54" s="204"/>
      <c r="K54" s="58">
        <v>2040</v>
      </c>
      <c r="L54" s="106">
        <v>49766</v>
      </c>
      <c r="M54" s="106">
        <f>I54-L54</f>
        <v>0</v>
      </c>
    </row>
    <row r="55" spans="1:52" s="142" customFormat="1" ht="31.5" x14ac:dyDescent="0.25">
      <c r="A55" s="303"/>
      <c r="B55" s="304"/>
      <c r="C55" s="303"/>
      <c r="D55" s="343"/>
      <c r="E55" s="33" t="s">
        <v>304</v>
      </c>
      <c r="F55" s="204">
        <v>2021</v>
      </c>
      <c r="G55" s="86">
        <v>559426</v>
      </c>
      <c r="H55" s="141">
        <v>0</v>
      </c>
      <c r="I55" s="86">
        <v>559426</v>
      </c>
      <c r="J55" s="204"/>
      <c r="K55" s="58">
        <v>2189</v>
      </c>
      <c r="L55" s="62">
        <f>515000+31296.2</f>
        <v>546296.19999999995</v>
      </c>
      <c r="M55" s="106">
        <f t="shared" ref="M55:M57" si="8">I55-L55</f>
        <v>13129.800000000047</v>
      </c>
    </row>
    <row r="56" spans="1:52" s="142" customFormat="1" ht="18.75" x14ac:dyDescent="0.25">
      <c r="A56" s="303"/>
      <c r="B56" s="304"/>
      <c r="C56" s="303"/>
      <c r="D56" s="343"/>
      <c r="E56" s="33" t="s">
        <v>10</v>
      </c>
      <c r="F56" s="231">
        <v>2021</v>
      </c>
      <c r="G56" s="86">
        <v>0</v>
      </c>
      <c r="H56" s="141">
        <v>0</v>
      </c>
      <c r="I56" s="86">
        <f>2075000+170000-49000</f>
        <v>2196000</v>
      </c>
      <c r="J56" s="231"/>
      <c r="K56" s="58">
        <v>2038</v>
      </c>
      <c r="L56" s="106"/>
      <c r="M56" s="106">
        <f t="shared" si="8"/>
        <v>2196000</v>
      </c>
    </row>
    <row r="57" spans="1:52" s="142" customFormat="1" ht="18.75" x14ac:dyDescent="0.25">
      <c r="A57" s="303"/>
      <c r="B57" s="304"/>
      <c r="C57" s="303"/>
      <c r="D57" s="343"/>
      <c r="E57" s="6" t="s">
        <v>228</v>
      </c>
      <c r="F57" s="231">
        <v>2021</v>
      </c>
      <c r="G57" s="86">
        <f>I57</f>
        <v>49000</v>
      </c>
      <c r="H57" s="141">
        <v>0</v>
      </c>
      <c r="I57" s="86">
        <f>49000</f>
        <v>49000</v>
      </c>
      <c r="J57" s="231"/>
      <c r="K57" s="58">
        <v>2145</v>
      </c>
      <c r="L57" s="62">
        <v>27226.76</v>
      </c>
      <c r="M57" s="106">
        <f t="shared" si="8"/>
        <v>21773.24</v>
      </c>
    </row>
    <row r="58" spans="1:52" s="148" customFormat="1" ht="31.5" x14ac:dyDescent="0.2">
      <c r="A58" s="321"/>
      <c r="B58" s="322"/>
      <c r="C58" s="323"/>
      <c r="D58" s="46" t="s">
        <v>292</v>
      </c>
      <c r="E58" s="146"/>
      <c r="F58" s="43" t="s">
        <v>7</v>
      </c>
      <c r="G58" s="82" t="s">
        <v>7</v>
      </c>
      <c r="H58" s="82" t="s">
        <v>7</v>
      </c>
      <c r="I58" s="82">
        <f>SUM(I59:I60)</f>
        <v>4223551</v>
      </c>
      <c r="J58" s="43" t="s">
        <v>7</v>
      </c>
      <c r="K58" s="154"/>
      <c r="L58" s="155"/>
      <c r="M58" s="106"/>
    </row>
    <row r="59" spans="1:52" s="142" customFormat="1" ht="47.25" x14ac:dyDescent="0.2">
      <c r="A59" s="138" t="s">
        <v>78</v>
      </c>
      <c r="B59" s="37">
        <v>2111</v>
      </c>
      <c r="C59" s="138" t="s">
        <v>80</v>
      </c>
      <c r="D59" s="137" t="s">
        <v>79</v>
      </c>
      <c r="E59" s="104" t="s">
        <v>10</v>
      </c>
      <c r="F59" s="30">
        <v>2021</v>
      </c>
      <c r="G59" s="86">
        <v>0</v>
      </c>
      <c r="H59" s="141">
        <v>0</v>
      </c>
      <c r="I59" s="86">
        <v>600000</v>
      </c>
      <c r="J59" s="30"/>
      <c r="K59" s="58">
        <v>2050</v>
      </c>
      <c r="L59" s="106">
        <f>510000+65000</f>
        <v>575000</v>
      </c>
      <c r="M59" s="106">
        <f>I59-L59</f>
        <v>25000</v>
      </c>
      <c r="N59" s="142" t="s">
        <v>212</v>
      </c>
    </row>
    <row r="60" spans="1:52" s="142" customFormat="1" ht="34.5" customHeight="1" x14ac:dyDescent="0.2">
      <c r="A60" s="258" t="s">
        <v>28</v>
      </c>
      <c r="B60" s="37">
        <v>7322</v>
      </c>
      <c r="C60" s="258" t="s">
        <v>200</v>
      </c>
      <c r="D60" s="257" t="s">
        <v>63</v>
      </c>
      <c r="E60" s="104" t="s">
        <v>205</v>
      </c>
      <c r="F60" s="259">
        <v>2021</v>
      </c>
      <c r="G60" s="86">
        <v>3696403</v>
      </c>
      <c r="H60" s="141">
        <v>0</v>
      </c>
      <c r="I60" s="86">
        <v>3623551</v>
      </c>
      <c r="J60" s="259"/>
      <c r="K60" s="58">
        <v>2118</v>
      </c>
      <c r="L60" s="62">
        <f>49580+554013.48+1278389.18+798148.05+821623.06</f>
        <v>3501753.77</v>
      </c>
      <c r="M60" s="106">
        <f>I60-L60</f>
        <v>121797.22999999998</v>
      </c>
    </row>
    <row r="61" spans="1:52" s="148" customFormat="1" ht="46.5" customHeight="1" x14ac:dyDescent="0.2">
      <c r="A61" s="321"/>
      <c r="B61" s="322"/>
      <c r="C61" s="323"/>
      <c r="D61" s="46" t="s">
        <v>293</v>
      </c>
      <c r="E61" s="146"/>
      <c r="F61" s="43" t="s">
        <v>7</v>
      </c>
      <c r="G61" s="82" t="s">
        <v>7</v>
      </c>
      <c r="H61" s="82" t="s">
        <v>7</v>
      </c>
      <c r="I61" s="82">
        <f>SUM(I62)</f>
        <v>1355500</v>
      </c>
      <c r="J61" s="43" t="s">
        <v>7</v>
      </c>
      <c r="K61" s="174"/>
      <c r="L61" s="175"/>
      <c r="M61" s="176"/>
    </row>
    <row r="62" spans="1:52" s="142" customFormat="1" ht="31.5" x14ac:dyDescent="0.25">
      <c r="A62" s="202" t="s">
        <v>49</v>
      </c>
      <c r="B62" s="203">
        <v>2080</v>
      </c>
      <c r="C62" s="202" t="s">
        <v>50</v>
      </c>
      <c r="D62" s="145" t="s">
        <v>51</v>
      </c>
      <c r="E62" s="104" t="s">
        <v>10</v>
      </c>
      <c r="F62" s="204">
        <v>2021</v>
      </c>
      <c r="G62" s="86">
        <v>0</v>
      </c>
      <c r="H62" s="141">
        <v>0</v>
      </c>
      <c r="I62" s="86">
        <f>1268198+87302</f>
        <v>1355500</v>
      </c>
      <c r="J62" s="204"/>
      <c r="K62" s="58">
        <v>2037</v>
      </c>
      <c r="L62" s="62">
        <v>1352300</v>
      </c>
      <c r="M62" s="106">
        <f>I62-L62</f>
        <v>3200</v>
      </c>
    </row>
    <row r="63" spans="1:52" s="149" customFormat="1" ht="15.75" x14ac:dyDescent="0.2">
      <c r="A63" s="321"/>
      <c r="B63" s="322"/>
      <c r="C63" s="323"/>
      <c r="D63" s="39" t="s">
        <v>295</v>
      </c>
      <c r="E63" s="146"/>
      <c r="F63" s="43" t="s">
        <v>7</v>
      </c>
      <c r="G63" s="82" t="s">
        <v>7</v>
      </c>
      <c r="H63" s="82" t="s">
        <v>7</v>
      </c>
      <c r="I63" s="82">
        <f>I64</f>
        <v>538024</v>
      </c>
      <c r="J63" s="43" t="s">
        <v>7</v>
      </c>
      <c r="K63" s="151"/>
      <c r="L63" s="152"/>
      <c r="M63" s="153"/>
      <c r="N63" s="148"/>
      <c r="O63" s="148"/>
      <c r="P63" s="148"/>
      <c r="Q63" s="148"/>
      <c r="R63" s="148"/>
      <c r="S63" s="148"/>
      <c r="T63" s="148"/>
      <c r="U63" s="148"/>
      <c r="V63" s="148"/>
      <c r="W63" s="148"/>
      <c r="X63" s="148"/>
      <c r="Y63" s="148"/>
      <c r="Z63" s="148"/>
      <c r="AA63" s="148"/>
      <c r="AB63" s="148"/>
      <c r="AC63" s="148"/>
      <c r="AD63" s="148"/>
      <c r="AE63" s="148"/>
      <c r="AF63" s="148"/>
      <c r="AG63" s="148"/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</row>
    <row r="64" spans="1:52" s="142" customFormat="1" ht="31.5" x14ac:dyDescent="0.2">
      <c r="A64" s="183" t="s">
        <v>11</v>
      </c>
      <c r="B64" s="37">
        <v>6030</v>
      </c>
      <c r="C64" s="183" t="s">
        <v>18</v>
      </c>
      <c r="D64" s="48" t="s">
        <v>19</v>
      </c>
      <c r="E64" s="15" t="s">
        <v>294</v>
      </c>
      <c r="F64" s="30">
        <v>2021</v>
      </c>
      <c r="G64" s="86">
        <v>0</v>
      </c>
      <c r="H64" s="141">
        <v>0</v>
      </c>
      <c r="I64" s="86">
        <v>538024</v>
      </c>
      <c r="J64" s="30"/>
      <c r="K64" s="58">
        <v>2179</v>
      </c>
      <c r="L64" s="62">
        <v>538024</v>
      </c>
      <c r="M64" s="106">
        <f>I64-L64</f>
        <v>0</v>
      </c>
    </row>
    <row r="65" spans="1:13" s="149" customFormat="1" ht="18.75" x14ac:dyDescent="0.25">
      <c r="A65" s="156" t="s">
        <v>172</v>
      </c>
      <c r="B65" s="157"/>
      <c r="C65" s="157"/>
      <c r="D65" s="35" t="s">
        <v>72</v>
      </c>
      <c r="E65" s="36"/>
      <c r="F65" s="43" t="s">
        <v>7</v>
      </c>
      <c r="G65" s="82" t="s">
        <v>7</v>
      </c>
      <c r="H65" s="82" t="s">
        <v>7</v>
      </c>
      <c r="I65" s="82">
        <f>SUM(I66:I96)</f>
        <v>159180864</v>
      </c>
      <c r="J65" s="43" t="s">
        <v>7</v>
      </c>
      <c r="K65" s="158"/>
      <c r="L65" s="159"/>
      <c r="M65" s="160"/>
    </row>
    <row r="66" spans="1:13" s="142" customFormat="1" ht="36.75" customHeight="1" x14ac:dyDescent="0.25">
      <c r="A66" s="161" t="s">
        <v>274</v>
      </c>
      <c r="B66" s="162">
        <v>1021</v>
      </c>
      <c r="C66" s="161" t="s">
        <v>218</v>
      </c>
      <c r="D66" s="189" t="s">
        <v>275</v>
      </c>
      <c r="E66" s="97" t="s">
        <v>362</v>
      </c>
      <c r="F66" s="30">
        <v>2021</v>
      </c>
      <c r="G66" s="86">
        <v>0</v>
      </c>
      <c r="H66" s="141">
        <v>0</v>
      </c>
      <c r="I66" s="86">
        <v>248352</v>
      </c>
      <c r="J66" s="30"/>
      <c r="K66" s="58">
        <v>2173</v>
      </c>
      <c r="L66" s="62">
        <f>49852+198500</f>
        <v>248352</v>
      </c>
      <c r="M66" s="106">
        <f t="shared" ref="M66:M72" si="9">I66-L66</f>
        <v>0</v>
      </c>
    </row>
    <row r="67" spans="1:13" s="142" customFormat="1" ht="31.5" x14ac:dyDescent="0.25">
      <c r="A67" s="303" t="s">
        <v>23</v>
      </c>
      <c r="B67" s="304">
        <v>7321</v>
      </c>
      <c r="C67" s="342" t="s">
        <v>24</v>
      </c>
      <c r="D67" s="304" t="s">
        <v>47</v>
      </c>
      <c r="E67" s="33" t="s">
        <v>192</v>
      </c>
      <c r="F67" s="223">
        <v>2021</v>
      </c>
      <c r="G67" s="86">
        <f>I67</f>
        <v>3573300</v>
      </c>
      <c r="H67" s="91">
        <v>0</v>
      </c>
      <c r="I67" s="86">
        <v>3573300</v>
      </c>
      <c r="J67" s="223"/>
      <c r="K67" s="58">
        <v>2015</v>
      </c>
      <c r="L67" s="62">
        <f>1247476.66+1408612.75+786849.71</f>
        <v>3442939.12</v>
      </c>
      <c r="M67" s="106">
        <f t="shared" si="9"/>
        <v>130360.87999999989</v>
      </c>
    </row>
    <row r="68" spans="1:13" s="142" customFormat="1" ht="31.5" x14ac:dyDescent="0.25">
      <c r="A68" s="303"/>
      <c r="B68" s="304"/>
      <c r="C68" s="342"/>
      <c r="D68" s="304"/>
      <c r="E68" s="33" t="s">
        <v>311</v>
      </c>
      <c r="F68" s="223">
        <v>2021</v>
      </c>
      <c r="G68" s="86">
        <v>3573300</v>
      </c>
      <c r="H68" s="91">
        <v>0</v>
      </c>
      <c r="I68" s="86">
        <v>49668</v>
      </c>
      <c r="J68" s="223"/>
      <c r="K68" s="58">
        <v>2015</v>
      </c>
      <c r="L68" s="62">
        <v>49668</v>
      </c>
      <c r="M68" s="106">
        <f t="shared" si="9"/>
        <v>0</v>
      </c>
    </row>
    <row r="69" spans="1:13" s="142" customFormat="1" ht="31.5" x14ac:dyDescent="0.25">
      <c r="A69" s="303"/>
      <c r="B69" s="304"/>
      <c r="C69" s="342"/>
      <c r="D69" s="304"/>
      <c r="E69" s="33" t="s">
        <v>312</v>
      </c>
      <c r="F69" s="223">
        <v>2021</v>
      </c>
      <c r="G69" s="86">
        <v>3573300</v>
      </c>
      <c r="H69" s="91">
        <v>0</v>
      </c>
      <c r="I69" s="86">
        <v>49900</v>
      </c>
      <c r="J69" s="223"/>
      <c r="K69" s="58">
        <v>2015</v>
      </c>
      <c r="L69" s="62">
        <f>20994.62+18441.59+10463.79</f>
        <v>49900</v>
      </c>
      <c r="M69" s="106">
        <f t="shared" si="9"/>
        <v>0</v>
      </c>
    </row>
    <row r="70" spans="1:13" s="142" customFormat="1" ht="31.5" x14ac:dyDescent="0.25">
      <c r="A70" s="303"/>
      <c r="B70" s="304"/>
      <c r="C70" s="342"/>
      <c r="D70" s="304"/>
      <c r="E70" s="33" t="s">
        <v>45</v>
      </c>
      <c r="F70" s="223">
        <v>2021</v>
      </c>
      <c r="G70" s="86">
        <f>I70</f>
        <v>0</v>
      </c>
      <c r="H70" s="91">
        <v>0</v>
      </c>
      <c r="I70" s="86">
        <f>3960000-49990-3910010</f>
        <v>0</v>
      </c>
      <c r="J70" s="223"/>
      <c r="K70" s="58">
        <v>2016</v>
      </c>
      <c r="L70" s="106"/>
      <c r="M70" s="106">
        <f t="shared" si="9"/>
        <v>0</v>
      </c>
    </row>
    <row r="71" spans="1:13" s="142" customFormat="1" ht="31.5" x14ac:dyDescent="0.25">
      <c r="A71" s="303"/>
      <c r="B71" s="304"/>
      <c r="C71" s="342"/>
      <c r="D71" s="304"/>
      <c r="E71" s="33" t="s">
        <v>191</v>
      </c>
      <c r="F71" s="231" t="s">
        <v>180</v>
      </c>
      <c r="G71" s="86">
        <v>158216750</v>
      </c>
      <c r="H71" s="91">
        <v>0</v>
      </c>
      <c r="I71" s="86">
        <f>26357340-10000000-486109+307000</f>
        <v>16178231</v>
      </c>
      <c r="J71" s="231"/>
      <c r="K71" s="58">
        <v>2017</v>
      </c>
      <c r="L71" s="62">
        <f>3166666.67+16237.69+591828.1+2989.69+1749005.46+8945.73</f>
        <v>5535673.3399999999</v>
      </c>
      <c r="M71" s="106">
        <f t="shared" si="9"/>
        <v>10642557.66</v>
      </c>
    </row>
    <row r="72" spans="1:13" s="142" customFormat="1" ht="31.5" x14ac:dyDescent="0.25">
      <c r="A72" s="303"/>
      <c r="B72" s="304"/>
      <c r="C72" s="342"/>
      <c r="D72" s="304"/>
      <c r="E72" s="33" t="s">
        <v>233</v>
      </c>
      <c r="F72" s="223">
        <v>2021</v>
      </c>
      <c r="G72" s="86">
        <f>I72</f>
        <v>1180246</v>
      </c>
      <c r="H72" s="91">
        <v>0</v>
      </c>
      <c r="I72" s="86">
        <f>123000+1057246</f>
        <v>1180246</v>
      </c>
      <c r="J72" s="223"/>
      <c r="K72" s="58">
        <v>2035</v>
      </c>
      <c r="L72" s="62">
        <v>430789.79</v>
      </c>
      <c r="M72" s="106">
        <f t="shared" si="9"/>
        <v>749456.21</v>
      </c>
    </row>
    <row r="73" spans="1:13" s="142" customFormat="1" ht="31.5" x14ac:dyDescent="0.25">
      <c r="A73" s="303"/>
      <c r="B73" s="304"/>
      <c r="C73" s="342"/>
      <c r="D73" s="304"/>
      <c r="E73" s="33" t="s">
        <v>310</v>
      </c>
      <c r="F73" s="223">
        <v>2021</v>
      </c>
      <c r="G73" s="86">
        <v>48890</v>
      </c>
      <c r="H73" s="91">
        <v>0</v>
      </c>
      <c r="I73" s="86">
        <v>48890</v>
      </c>
      <c r="J73" s="223"/>
      <c r="K73" s="58">
        <v>2194</v>
      </c>
      <c r="L73" s="62">
        <v>48890</v>
      </c>
      <c r="M73" s="106">
        <f t="shared" ref="M73:M81" si="10">I73-L73</f>
        <v>0</v>
      </c>
    </row>
    <row r="74" spans="1:13" s="142" customFormat="1" ht="27" customHeight="1" x14ac:dyDescent="0.25">
      <c r="A74" s="303"/>
      <c r="B74" s="304"/>
      <c r="C74" s="342"/>
      <c r="D74" s="304"/>
      <c r="E74" s="33" t="s">
        <v>193</v>
      </c>
      <c r="F74" s="223" t="s">
        <v>180</v>
      </c>
      <c r="G74" s="86">
        <v>67620674</v>
      </c>
      <c r="H74" s="91">
        <v>0.3</v>
      </c>
      <c r="I74" s="86">
        <v>2714160</v>
      </c>
      <c r="J74" s="223"/>
      <c r="K74" s="58">
        <v>2003</v>
      </c>
      <c r="L74" s="106">
        <v>2714159.04</v>
      </c>
      <c r="M74" s="106">
        <f t="shared" si="10"/>
        <v>0.9599999999627471</v>
      </c>
    </row>
    <row r="75" spans="1:13" s="142" customFormat="1" ht="34.5" customHeight="1" x14ac:dyDescent="0.25">
      <c r="A75" s="303"/>
      <c r="B75" s="304"/>
      <c r="C75" s="342"/>
      <c r="D75" s="304"/>
      <c r="E75" s="33" t="s">
        <v>236</v>
      </c>
      <c r="F75" s="223">
        <v>2021</v>
      </c>
      <c r="G75" s="86">
        <v>289310</v>
      </c>
      <c r="H75" s="91">
        <v>0</v>
      </c>
      <c r="I75" s="86">
        <v>289310</v>
      </c>
      <c r="J75" s="223"/>
      <c r="K75" s="58">
        <v>2136</v>
      </c>
      <c r="L75" s="106">
        <v>289309.64</v>
      </c>
      <c r="M75" s="106">
        <f t="shared" si="10"/>
        <v>0.35999999998603016</v>
      </c>
    </row>
    <row r="76" spans="1:13" s="142" customFormat="1" ht="43.5" customHeight="1" x14ac:dyDescent="0.25">
      <c r="A76" s="303"/>
      <c r="B76" s="304"/>
      <c r="C76" s="342"/>
      <c r="D76" s="304"/>
      <c r="E76" s="33" t="s">
        <v>237</v>
      </c>
      <c r="F76" s="223">
        <v>2021</v>
      </c>
      <c r="G76" s="196">
        <v>476280</v>
      </c>
      <c r="H76" s="195">
        <v>0</v>
      </c>
      <c r="I76" s="196">
        <v>476280</v>
      </c>
      <c r="J76" s="193"/>
      <c r="K76" s="58">
        <v>2137</v>
      </c>
      <c r="L76" s="62">
        <f>72446.73+42274.08+30223.94+35140.62+43102.39+56236.29+20896.84+8986.32+11290.92</f>
        <v>320598.13</v>
      </c>
      <c r="M76" s="106">
        <f t="shared" si="10"/>
        <v>155681.87</v>
      </c>
    </row>
    <row r="77" spans="1:13" s="142" customFormat="1" ht="43.5" customHeight="1" x14ac:dyDescent="0.25">
      <c r="A77" s="303"/>
      <c r="B77" s="304"/>
      <c r="C77" s="342"/>
      <c r="D77" s="304"/>
      <c r="E77" s="33" t="s">
        <v>352</v>
      </c>
      <c r="F77" s="226">
        <v>2021</v>
      </c>
      <c r="G77" s="86">
        <v>147286</v>
      </c>
      <c r="H77" s="91">
        <v>0</v>
      </c>
      <c r="I77" s="86">
        <v>147286</v>
      </c>
      <c r="J77" s="226"/>
      <c r="K77" s="58">
        <v>2107</v>
      </c>
      <c r="L77" s="62">
        <v>147285.53</v>
      </c>
      <c r="M77" s="106">
        <f>I77-L77</f>
        <v>0.47000000000116415</v>
      </c>
    </row>
    <row r="78" spans="1:13" s="142" customFormat="1" ht="39" customHeight="1" x14ac:dyDescent="0.25">
      <c r="A78" s="303"/>
      <c r="B78" s="304"/>
      <c r="C78" s="342"/>
      <c r="D78" s="304"/>
      <c r="E78" s="33" t="s">
        <v>196</v>
      </c>
      <c r="F78" s="228">
        <v>2021</v>
      </c>
      <c r="G78" s="86">
        <v>13801319</v>
      </c>
      <c r="H78" s="91">
        <v>0</v>
      </c>
      <c r="I78" s="86">
        <v>1483886</v>
      </c>
      <c r="J78" s="228"/>
      <c r="K78" s="58">
        <v>2046</v>
      </c>
      <c r="L78" s="62">
        <f>289024.07+196732.48+614598.72+383530.73</f>
        <v>1483886</v>
      </c>
      <c r="M78" s="106">
        <f t="shared" si="10"/>
        <v>0</v>
      </c>
    </row>
    <row r="79" spans="1:13" s="142" customFormat="1" ht="41.25" customHeight="1" x14ac:dyDescent="0.25">
      <c r="A79" s="303"/>
      <c r="B79" s="304"/>
      <c r="C79" s="342"/>
      <c r="D79" s="304"/>
      <c r="E79" s="33" t="s">
        <v>234</v>
      </c>
      <c r="F79" s="223">
        <v>2021</v>
      </c>
      <c r="G79" s="86">
        <v>134450</v>
      </c>
      <c r="H79" s="91">
        <v>0</v>
      </c>
      <c r="I79" s="86">
        <v>134450</v>
      </c>
      <c r="J79" s="223"/>
      <c r="K79" s="58">
        <v>2134</v>
      </c>
      <c r="L79" s="62">
        <f>13323.43+36789.05+4249.64+8972.89+65435.62+5679.37</f>
        <v>134450</v>
      </c>
      <c r="M79" s="106">
        <f t="shared" si="10"/>
        <v>0</v>
      </c>
    </row>
    <row r="80" spans="1:13" s="142" customFormat="1" ht="47.25" customHeight="1" x14ac:dyDescent="0.25">
      <c r="A80" s="303"/>
      <c r="B80" s="304"/>
      <c r="C80" s="342"/>
      <c r="D80" s="304"/>
      <c r="E80" s="33" t="s">
        <v>235</v>
      </c>
      <c r="F80" s="223">
        <v>2021</v>
      </c>
      <c r="G80" s="86">
        <v>38880</v>
      </c>
      <c r="H80" s="91">
        <v>0</v>
      </c>
      <c r="I80" s="86">
        <v>38880</v>
      </c>
      <c r="J80" s="223"/>
      <c r="K80" s="58">
        <v>2135</v>
      </c>
      <c r="L80" s="106">
        <f>17820+21060</f>
        <v>38880</v>
      </c>
      <c r="M80" s="106">
        <f t="shared" si="10"/>
        <v>0</v>
      </c>
    </row>
    <row r="81" spans="1:52" s="142" customFormat="1" ht="47.25" customHeight="1" x14ac:dyDescent="0.25">
      <c r="A81" s="303"/>
      <c r="B81" s="304"/>
      <c r="C81" s="342"/>
      <c r="D81" s="304"/>
      <c r="E81" s="33" t="s">
        <v>313</v>
      </c>
      <c r="F81" s="223">
        <v>2021</v>
      </c>
      <c r="G81" s="86">
        <v>80066712</v>
      </c>
      <c r="H81" s="91">
        <v>0</v>
      </c>
      <c r="I81" s="86">
        <v>173340</v>
      </c>
      <c r="J81" s="223"/>
      <c r="K81" s="58">
        <v>2138</v>
      </c>
      <c r="L81" s="62">
        <v>173340</v>
      </c>
      <c r="M81" s="106">
        <f t="shared" si="10"/>
        <v>0</v>
      </c>
    </row>
    <row r="82" spans="1:52" s="142" customFormat="1" ht="46.5" customHeight="1" x14ac:dyDescent="0.25">
      <c r="A82" s="303"/>
      <c r="B82" s="304"/>
      <c r="C82" s="342"/>
      <c r="D82" s="304"/>
      <c r="E82" s="33" t="s">
        <v>239</v>
      </c>
      <c r="F82" s="223">
        <v>2021</v>
      </c>
      <c r="G82" s="86">
        <v>98099</v>
      </c>
      <c r="H82" s="91">
        <v>0</v>
      </c>
      <c r="I82" s="86">
        <v>98099</v>
      </c>
      <c r="J82" s="223"/>
      <c r="K82" s="58">
        <v>2139</v>
      </c>
      <c r="L82" s="106"/>
      <c r="M82" s="106">
        <f t="shared" ref="M82:M90" si="11">I82-L82</f>
        <v>98099</v>
      </c>
    </row>
    <row r="83" spans="1:52" s="142" customFormat="1" ht="42.75" customHeight="1" x14ac:dyDescent="0.25">
      <c r="A83" s="303"/>
      <c r="B83" s="304"/>
      <c r="C83" s="342"/>
      <c r="D83" s="304"/>
      <c r="E83" s="33" t="s">
        <v>238</v>
      </c>
      <c r="F83" s="223">
        <v>2021</v>
      </c>
      <c r="G83" s="86">
        <v>894230</v>
      </c>
      <c r="H83" s="91">
        <v>0</v>
      </c>
      <c r="I83" s="86">
        <v>894230</v>
      </c>
      <c r="J83" s="223"/>
      <c r="K83" s="58">
        <v>2138</v>
      </c>
      <c r="L83" s="62">
        <f>136520+221804.36+210569.14</f>
        <v>568893.5</v>
      </c>
      <c r="M83" s="106">
        <f t="shared" si="11"/>
        <v>325336.5</v>
      </c>
    </row>
    <row r="84" spans="1:52" s="142" customFormat="1" ht="42.75" customHeight="1" x14ac:dyDescent="0.25">
      <c r="A84" s="303"/>
      <c r="B84" s="304"/>
      <c r="C84" s="342"/>
      <c r="D84" s="304"/>
      <c r="E84" s="33" t="s">
        <v>348</v>
      </c>
      <c r="F84" s="226">
        <v>2021</v>
      </c>
      <c r="G84" s="86">
        <v>239760</v>
      </c>
      <c r="H84" s="91">
        <v>0</v>
      </c>
      <c r="I84" s="86">
        <v>239760</v>
      </c>
      <c r="J84" s="226"/>
      <c r="K84" s="58">
        <v>2138</v>
      </c>
      <c r="L84" s="62">
        <v>239760</v>
      </c>
      <c r="M84" s="106">
        <f t="shared" si="11"/>
        <v>0</v>
      </c>
    </row>
    <row r="85" spans="1:52" s="142" customFormat="1" ht="68.25" customHeight="1" x14ac:dyDescent="0.25">
      <c r="A85" s="303"/>
      <c r="B85" s="304"/>
      <c r="C85" s="342"/>
      <c r="D85" s="304"/>
      <c r="E85" s="33" t="s">
        <v>231</v>
      </c>
      <c r="F85" s="223">
        <v>2021</v>
      </c>
      <c r="G85" s="86">
        <v>127980</v>
      </c>
      <c r="H85" s="91">
        <v>0</v>
      </c>
      <c r="I85" s="86">
        <v>127980</v>
      </c>
      <c r="J85" s="223"/>
      <c r="K85" s="58">
        <v>2132</v>
      </c>
      <c r="L85" s="62">
        <f>18067.16+35825.38+18491.57+2659.99</f>
        <v>75044.099999999991</v>
      </c>
      <c r="M85" s="106">
        <f t="shared" si="11"/>
        <v>52935.900000000009</v>
      </c>
    </row>
    <row r="86" spans="1:52" s="142" customFormat="1" ht="64.5" customHeight="1" x14ac:dyDescent="0.25">
      <c r="A86" s="303"/>
      <c r="B86" s="304"/>
      <c r="C86" s="342"/>
      <c r="D86" s="304"/>
      <c r="E86" s="33" t="s">
        <v>232</v>
      </c>
      <c r="F86" s="223">
        <v>2021</v>
      </c>
      <c r="G86" s="86">
        <v>30780</v>
      </c>
      <c r="H86" s="91">
        <v>0</v>
      </c>
      <c r="I86" s="86">
        <v>30780</v>
      </c>
      <c r="J86" s="223"/>
      <c r="K86" s="58">
        <v>2133</v>
      </c>
      <c r="L86" s="106">
        <f>21060+9720</f>
        <v>30780</v>
      </c>
      <c r="M86" s="106">
        <f t="shared" si="11"/>
        <v>0</v>
      </c>
    </row>
    <row r="87" spans="1:52" s="142" customFormat="1" ht="52.5" customHeight="1" x14ac:dyDescent="0.25">
      <c r="A87" s="303"/>
      <c r="B87" s="304"/>
      <c r="C87" s="342"/>
      <c r="D87" s="304"/>
      <c r="E87" s="33" t="s">
        <v>280</v>
      </c>
      <c r="F87" s="223">
        <v>2021</v>
      </c>
      <c r="G87" s="86">
        <v>165800</v>
      </c>
      <c r="H87" s="91">
        <v>0</v>
      </c>
      <c r="I87" s="86">
        <v>165800</v>
      </c>
      <c r="J87" s="223"/>
      <c r="K87" s="58">
        <v>2172</v>
      </c>
      <c r="L87" s="106"/>
      <c r="M87" s="106">
        <f t="shared" si="11"/>
        <v>165800</v>
      </c>
    </row>
    <row r="88" spans="1:52" s="142" customFormat="1" ht="46.5" customHeight="1" x14ac:dyDescent="0.25">
      <c r="A88" s="303"/>
      <c r="B88" s="304"/>
      <c r="C88" s="342"/>
      <c r="D88" s="304"/>
      <c r="E88" s="33" t="s">
        <v>309</v>
      </c>
      <c r="F88" s="223">
        <v>2021</v>
      </c>
      <c r="G88" s="86">
        <v>3267358</v>
      </c>
      <c r="H88" s="91">
        <v>0</v>
      </c>
      <c r="I88" s="86">
        <v>1263924</v>
      </c>
      <c r="J88" s="223"/>
      <c r="K88" s="58">
        <v>2193</v>
      </c>
      <c r="L88" s="62">
        <f>12702.94+16937.24+351580</f>
        <v>381220.18</v>
      </c>
      <c r="M88" s="106">
        <f t="shared" si="11"/>
        <v>882703.82000000007</v>
      </c>
    </row>
    <row r="89" spans="1:52" s="142" customFormat="1" ht="46.5" customHeight="1" x14ac:dyDescent="0.25">
      <c r="A89" s="303"/>
      <c r="B89" s="304"/>
      <c r="C89" s="342"/>
      <c r="D89" s="304"/>
      <c r="E89" s="33" t="s">
        <v>349</v>
      </c>
      <c r="F89" s="226">
        <v>2021</v>
      </c>
      <c r="G89" s="86">
        <v>49756</v>
      </c>
      <c r="H89" s="91">
        <v>0</v>
      </c>
      <c r="I89" s="86">
        <v>49756</v>
      </c>
      <c r="J89" s="226"/>
      <c r="K89" s="58">
        <v>2216</v>
      </c>
      <c r="L89" s="62">
        <v>49756</v>
      </c>
      <c r="M89" s="106">
        <f t="shared" si="11"/>
        <v>0</v>
      </c>
    </row>
    <row r="90" spans="1:52" s="142" customFormat="1" ht="46.5" customHeight="1" x14ac:dyDescent="0.25">
      <c r="A90" s="303"/>
      <c r="B90" s="304"/>
      <c r="C90" s="342"/>
      <c r="D90" s="304"/>
      <c r="E90" s="33" t="s">
        <v>350</v>
      </c>
      <c r="F90" s="226">
        <v>2021</v>
      </c>
      <c r="G90" s="86">
        <v>49307</v>
      </c>
      <c r="H90" s="91">
        <v>0</v>
      </c>
      <c r="I90" s="86">
        <v>49307</v>
      </c>
      <c r="J90" s="226"/>
      <c r="K90" s="58">
        <v>2217</v>
      </c>
      <c r="L90" s="62">
        <v>49307</v>
      </c>
      <c r="M90" s="106">
        <f t="shared" si="11"/>
        <v>0</v>
      </c>
    </row>
    <row r="91" spans="1:52" s="142" customFormat="1" ht="19.5" customHeight="1" x14ac:dyDescent="0.2">
      <c r="A91" s="285" t="s">
        <v>141</v>
      </c>
      <c r="B91" s="286"/>
      <c r="C91" s="286"/>
      <c r="D91" s="286"/>
      <c r="E91" s="286"/>
      <c r="F91" s="286"/>
      <c r="G91" s="286"/>
      <c r="H91" s="286"/>
      <c r="I91" s="286"/>
      <c r="J91" s="287"/>
      <c r="K91" s="163"/>
      <c r="L91" s="164"/>
      <c r="M91" s="165"/>
    </row>
    <row r="92" spans="1:52" s="142" customFormat="1" ht="31.5" x14ac:dyDescent="0.25">
      <c r="A92" s="269" t="s">
        <v>64</v>
      </c>
      <c r="B92" s="278">
        <v>7368</v>
      </c>
      <c r="C92" s="269" t="s">
        <v>5</v>
      </c>
      <c r="D92" s="278" t="s">
        <v>65</v>
      </c>
      <c r="E92" s="33" t="s">
        <v>163</v>
      </c>
      <c r="F92" s="30" t="s">
        <v>180</v>
      </c>
      <c r="G92" s="86">
        <v>67620674</v>
      </c>
      <c r="H92" s="91">
        <v>0.3</v>
      </c>
      <c r="I92" s="86">
        <f>30000000-22754622</f>
        <v>7245378</v>
      </c>
      <c r="J92" s="30"/>
      <c r="K92" s="58">
        <v>2044</v>
      </c>
      <c r="L92" s="107">
        <f>4822676.23+949801.15+1321254.96+151645.66</f>
        <v>7245378.0000000009</v>
      </c>
      <c r="M92" s="106">
        <f t="shared" ref="M92:M98" si="12">I92-L92</f>
        <v>0</v>
      </c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 s="142" customFormat="1" ht="53.25" customHeight="1" x14ac:dyDescent="0.25">
      <c r="A93" s="270"/>
      <c r="B93" s="279"/>
      <c r="C93" s="270"/>
      <c r="D93" s="279"/>
      <c r="E93" s="33" t="s">
        <v>227</v>
      </c>
      <c r="F93" s="30">
        <v>2021</v>
      </c>
      <c r="G93" s="86">
        <v>9513572</v>
      </c>
      <c r="H93" s="91">
        <v>0</v>
      </c>
      <c r="I93" s="86">
        <v>3458984</v>
      </c>
      <c r="J93" s="30"/>
      <c r="K93" s="58">
        <v>2045</v>
      </c>
      <c r="L93" s="107">
        <f>2400009.16+948682.46+110292.38</f>
        <v>3458984</v>
      </c>
      <c r="M93" s="106">
        <f t="shared" si="12"/>
        <v>0</v>
      </c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 s="142" customFormat="1" ht="40.5" customHeight="1" x14ac:dyDescent="0.25">
      <c r="A94" s="270"/>
      <c r="B94" s="279"/>
      <c r="C94" s="270"/>
      <c r="D94" s="279"/>
      <c r="E94" s="166" t="s">
        <v>197</v>
      </c>
      <c r="F94" s="30">
        <v>2021</v>
      </c>
      <c r="G94" s="86">
        <v>13801319</v>
      </c>
      <c r="H94" s="91">
        <v>0</v>
      </c>
      <c r="I94" s="86">
        <v>5970687</v>
      </c>
      <c r="J94" s="30"/>
      <c r="K94" s="58">
        <v>2046</v>
      </c>
      <c r="L94" s="107">
        <f>2730000+2370897.32+869789.68</f>
        <v>5970687</v>
      </c>
      <c r="M94" s="106">
        <f t="shared" si="12"/>
        <v>0</v>
      </c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 s="142" customFormat="1" ht="40.5" customHeight="1" x14ac:dyDescent="0.25">
      <c r="A95" s="271"/>
      <c r="B95" s="280"/>
      <c r="C95" s="271"/>
      <c r="D95" s="280"/>
      <c r="E95" s="96" t="s">
        <v>226</v>
      </c>
      <c r="F95" s="30">
        <v>2021</v>
      </c>
      <c r="G95" s="86">
        <v>80066712</v>
      </c>
      <c r="H95" s="91">
        <v>0.6</v>
      </c>
      <c r="I95" s="86">
        <v>30000000</v>
      </c>
      <c r="J95" s="30"/>
      <c r="K95" s="58">
        <v>2129</v>
      </c>
      <c r="L95" s="107">
        <f>14643439.1+15356560.85</f>
        <v>29999999.949999999</v>
      </c>
      <c r="M95" s="106">
        <f t="shared" si="12"/>
        <v>5.000000074505806E-2</v>
      </c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 s="142" customFormat="1" ht="31.5" x14ac:dyDescent="0.25">
      <c r="A96" s="261" t="s">
        <v>137</v>
      </c>
      <c r="B96" s="262">
        <v>7366</v>
      </c>
      <c r="C96" s="263" t="s">
        <v>5</v>
      </c>
      <c r="D96" s="266" t="s">
        <v>138</v>
      </c>
      <c r="E96" s="33" t="s">
        <v>198</v>
      </c>
      <c r="F96" s="268" t="s">
        <v>180</v>
      </c>
      <c r="G96" s="86">
        <v>158216750</v>
      </c>
      <c r="H96" s="91">
        <v>0</v>
      </c>
      <c r="I96" s="86">
        <f>35169947-5169947+52800000</f>
        <v>82800000</v>
      </c>
      <c r="J96" s="268"/>
      <c r="K96" s="58">
        <v>2097</v>
      </c>
      <c r="L96" s="107">
        <v>27537501.16</v>
      </c>
      <c r="M96" s="106">
        <f t="shared" si="12"/>
        <v>55262498.840000004</v>
      </c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14" ht="31.5" x14ac:dyDescent="0.25">
      <c r="A97" s="80" t="s">
        <v>171</v>
      </c>
      <c r="B97" s="34"/>
      <c r="C97" s="34"/>
      <c r="D97" s="35" t="s">
        <v>143</v>
      </c>
      <c r="E97" s="36"/>
      <c r="F97" s="43" t="s">
        <v>7</v>
      </c>
      <c r="G97" s="83" t="s">
        <v>7</v>
      </c>
      <c r="H97" s="83" t="s">
        <v>7</v>
      </c>
      <c r="I97" s="83">
        <f>I98+I99</f>
        <v>995060</v>
      </c>
      <c r="J97" s="89" t="s">
        <v>7</v>
      </c>
      <c r="K97" s="102"/>
      <c r="L97" s="192"/>
      <c r="M97" s="100">
        <f t="shared" si="12"/>
        <v>995060</v>
      </c>
    </row>
    <row r="98" spans="1:14" s="14" customFormat="1" ht="31.5" x14ac:dyDescent="0.25">
      <c r="A98" s="202" t="s">
        <v>144</v>
      </c>
      <c r="B98" s="44">
        <v>7323</v>
      </c>
      <c r="C98" s="205" t="s">
        <v>24</v>
      </c>
      <c r="D98" s="203" t="s">
        <v>145</v>
      </c>
      <c r="E98" s="33" t="s">
        <v>314</v>
      </c>
      <c r="F98" s="204">
        <v>2021</v>
      </c>
      <c r="G98" s="86">
        <f>I98</f>
        <v>860107</v>
      </c>
      <c r="H98" s="92">
        <v>0</v>
      </c>
      <c r="I98" s="86">
        <v>860107</v>
      </c>
      <c r="J98" s="32"/>
      <c r="K98" s="57">
        <v>2195</v>
      </c>
      <c r="L98" s="107">
        <v>0</v>
      </c>
      <c r="M98" s="56">
        <f t="shared" si="12"/>
        <v>860107</v>
      </c>
    </row>
    <row r="99" spans="1:14" s="142" customFormat="1" ht="84.75" customHeight="1" x14ac:dyDescent="0.2">
      <c r="A99" s="238" t="s">
        <v>325</v>
      </c>
      <c r="B99" s="44">
        <v>6083</v>
      </c>
      <c r="C99" s="232" t="s">
        <v>32</v>
      </c>
      <c r="D99" s="237" t="s">
        <v>323</v>
      </c>
      <c r="E99" s="15" t="s">
        <v>355</v>
      </c>
      <c r="F99" s="231">
        <v>2021</v>
      </c>
      <c r="G99" s="86">
        <v>629777.4</v>
      </c>
      <c r="H99" s="141">
        <v>0</v>
      </c>
      <c r="I99" s="86">
        <v>134953</v>
      </c>
      <c r="J99" s="231"/>
      <c r="K99" s="58">
        <v>2198</v>
      </c>
      <c r="L99" s="106"/>
      <c r="M99" s="106"/>
    </row>
    <row r="100" spans="1:14" s="149" customFormat="1" ht="31.5" x14ac:dyDescent="0.25">
      <c r="A100" s="156" t="s">
        <v>175</v>
      </c>
      <c r="B100" s="157"/>
      <c r="C100" s="157"/>
      <c r="D100" s="35" t="s">
        <v>71</v>
      </c>
      <c r="E100" s="36"/>
      <c r="F100" s="43" t="s">
        <v>7</v>
      </c>
      <c r="G100" s="82" t="s">
        <v>7</v>
      </c>
      <c r="H100" s="82" t="s">
        <v>7</v>
      </c>
      <c r="I100" s="82">
        <f>SUM(I101:I104)</f>
        <v>1016000</v>
      </c>
      <c r="J100" s="43" t="s">
        <v>7</v>
      </c>
      <c r="K100" s="167"/>
      <c r="L100" s="168"/>
      <c r="M100" s="106"/>
    </row>
    <row r="101" spans="1:14" s="142" customFormat="1" ht="35.25" customHeight="1" x14ac:dyDescent="0.25">
      <c r="A101" s="269" t="s">
        <v>68</v>
      </c>
      <c r="B101" s="294" t="s">
        <v>67</v>
      </c>
      <c r="C101" s="294" t="s">
        <v>16</v>
      </c>
      <c r="D101" s="278" t="s">
        <v>69</v>
      </c>
      <c r="E101" s="33" t="s">
        <v>70</v>
      </c>
      <c r="F101" s="30">
        <v>2021</v>
      </c>
      <c r="G101" s="86">
        <f>I101</f>
        <v>732113.91</v>
      </c>
      <c r="H101" s="91">
        <v>0</v>
      </c>
      <c r="I101" s="86">
        <f>866000-133886.09</f>
        <v>732113.91</v>
      </c>
      <c r="J101" s="30"/>
      <c r="K101" s="58">
        <v>2048</v>
      </c>
      <c r="L101" s="106">
        <f>49516+237154.63+283962.35+161480.93</f>
        <v>732113.90999999992</v>
      </c>
      <c r="M101" s="106">
        <f>I101-L101</f>
        <v>0</v>
      </c>
    </row>
    <row r="102" spans="1:14" s="142" customFormat="1" ht="35.25" customHeight="1" x14ac:dyDescent="0.25">
      <c r="A102" s="271"/>
      <c r="B102" s="295"/>
      <c r="C102" s="295"/>
      <c r="D102" s="280"/>
      <c r="E102" s="33" t="s">
        <v>10</v>
      </c>
      <c r="F102" s="30">
        <v>2021</v>
      </c>
      <c r="G102" s="86">
        <v>0</v>
      </c>
      <c r="H102" s="91">
        <v>0</v>
      </c>
      <c r="I102" s="86">
        <v>120776.09</v>
      </c>
      <c r="J102" s="30"/>
      <c r="K102" s="58">
        <v>2119</v>
      </c>
      <c r="L102" s="106">
        <v>0</v>
      </c>
      <c r="M102" s="106">
        <f>I102-L102</f>
        <v>120776.09</v>
      </c>
    </row>
    <row r="103" spans="1:14" s="14" customFormat="1" ht="18.75" x14ac:dyDescent="0.25">
      <c r="A103" s="181" t="s">
        <v>201</v>
      </c>
      <c r="B103" s="182">
        <v>4030</v>
      </c>
      <c r="C103" s="182" t="s">
        <v>203</v>
      </c>
      <c r="D103" s="180" t="s">
        <v>202</v>
      </c>
      <c r="E103" s="33" t="s">
        <v>10</v>
      </c>
      <c r="F103" s="30">
        <v>2021</v>
      </c>
      <c r="G103" s="86">
        <v>0</v>
      </c>
      <c r="H103" s="92">
        <v>0</v>
      </c>
      <c r="I103" s="86">
        <v>13110</v>
      </c>
      <c r="J103" s="32"/>
      <c r="K103" s="73">
        <v>2119</v>
      </c>
      <c r="L103" s="106">
        <v>0</v>
      </c>
      <c r="M103" s="56">
        <f>I103</f>
        <v>13110</v>
      </c>
    </row>
    <row r="104" spans="1:14" s="14" customFormat="1" ht="18.75" x14ac:dyDescent="0.25">
      <c r="A104" s="200" t="s">
        <v>320</v>
      </c>
      <c r="B104" s="201">
        <v>1080</v>
      </c>
      <c r="C104" s="201" t="s">
        <v>321</v>
      </c>
      <c r="D104" s="199" t="s">
        <v>319</v>
      </c>
      <c r="E104" s="33" t="s">
        <v>10</v>
      </c>
      <c r="F104" s="204">
        <v>2021</v>
      </c>
      <c r="G104" s="86">
        <v>0</v>
      </c>
      <c r="H104" s="92">
        <v>0</v>
      </c>
      <c r="I104" s="86">
        <v>150000</v>
      </c>
      <c r="J104" s="32"/>
      <c r="K104" s="73">
        <v>2119</v>
      </c>
      <c r="L104" s="62">
        <v>149250</v>
      </c>
      <c r="M104" s="56">
        <f>I104-L104</f>
        <v>750</v>
      </c>
    </row>
    <row r="105" spans="1:14" s="6" customFormat="1" ht="15.75" x14ac:dyDescent="0.25">
      <c r="A105" s="156" t="s">
        <v>174</v>
      </c>
      <c r="B105" s="38"/>
      <c r="C105" s="50"/>
      <c r="D105" s="51" t="s">
        <v>82</v>
      </c>
      <c r="E105" s="169"/>
      <c r="F105" s="43" t="s">
        <v>7</v>
      </c>
      <c r="G105" s="82" t="s">
        <v>7</v>
      </c>
      <c r="H105" s="82" t="s">
        <v>7</v>
      </c>
      <c r="I105" s="82">
        <f>I106</f>
        <v>15500</v>
      </c>
      <c r="J105" s="43" t="s">
        <v>7</v>
      </c>
      <c r="K105" s="347"/>
      <c r="L105" s="348"/>
      <c r="M105" s="349"/>
    </row>
    <row r="106" spans="1:14" s="142" customFormat="1" ht="18.75" x14ac:dyDescent="0.2">
      <c r="A106" s="138" t="s">
        <v>83</v>
      </c>
      <c r="B106" s="134">
        <v>5041</v>
      </c>
      <c r="C106" s="135" t="s">
        <v>85</v>
      </c>
      <c r="D106" s="53" t="s">
        <v>84</v>
      </c>
      <c r="E106" s="15" t="s">
        <v>10</v>
      </c>
      <c r="F106" s="30">
        <v>2021</v>
      </c>
      <c r="G106" s="86">
        <v>0</v>
      </c>
      <c r="H106" s="91">
        <v>0</v>
      </c>
      <c r="I106" s="86">
        <v>15500</v>
      </c>
      <c r="J106" s="30"/>
      <c r="K106" s="58">
        <v>2051</v>
      </c>
      <c r="L106" s="106">
        <v>15500</v>
      </c>
      <c r="M106" s="106">
        <f>I106-L106</f>
        <v>0</v>
      </c>
      <c r="N106" s="142" t="s">
        <v>100</v>
      </c>
    </row>
    <row r="107" spans="1:14" s="170" customFormat="1" ht="20.25" customHeight="1" x14ac:dyDescent="0.3">
      <c r="A107" s="339" t="s">
        <v>14</v>
      </c>
      <c r="B107" s="340"/>
      <c r="C107" s="340"/>
      <c r="D107" s="340"/>
      <c r="E107" s="341"/>
      <c r="F107" s="90" t="s">
        <v>7</v>
      </c>
      <c r="G107" s="81" t="s">
        <v>7</v>
      </c>
      <c r="H107" s="81" t="s">
        <v>7</v>
      </c>
      <c r="I107" s="81">
        <f>I108+I128+I136+I138+I220+I206+I218+I262+I273+I276+I268</f>
        <v>271417182.11000001</v>
      </c>
      <c r="J107" s="90" t="s">
        <v>7</v>
      </c>
      <c r="K107" s="177"/>
      <c r="L107" s="64">
        <f>SUM(L108:L277)</f>
        <v>152552309.72</v>
      </c>
      <c r="M107" s="64">
        <f>I107-L107</f>
        <v>118864872.39000002</v>
      </c>
    </row>
    <row r="108" spans="1:14" s="149" customFormat="1" ht="18.75" x14ac:dyDescent="0.2">
      <c r="A108" s="156" t="s">
        <v>173</v>
      </c>
      <c r="B108" s="42"/>
      <c r="C108" s="41"/>
      <c r="D108" s="35" t="s">
        <v>9</v>
      </c>
      <c r="E108" s="43"/>
      <c r="F108" s="43" t="s">
        <v>7</v>
      </c>
      <c r="G108" s="82" t="s">
        <v>7</v>
      </c>
      <c r="H108" s="82" t="s">
        <v>7</v>
      </c>
      <c r="I108" s="82">
        <f>SUM(I109:I122)+I124+I125+I126+I127</f>
        <v>58501438</v>
      </c>
      <c r="J108" s="43" t="s">
        <v>7</v>
      </c>
      <c r="K108" s="158"/>
      <c r="L108" s="159"/>
      <c r="M108" s="160"/>
    </row>
    <row r="109" spans="1:14" s="142" customFormat="1" ht="64.5" customHeight="1" x14ac:dyDescent="0.2">
      <c r="A109" s="238" t="s">
        <v>8</v>
      </c>
      <c r="B109" s="44" t="s">
        <v>15</v>
      </c>
      <c r="C109" s="232" t="s">
        <v>16</v>
      </c>
      <c r="D109" s="237" t="s">
        <v>17</v>
      </c>
      <c r="E109" s="15" t="s">
        <v>10</v>
      </c>
      <c r="F109" s="231">
        <v>2021</v>
      </c>
      <c r="G109" s="86">
        <v>0</v>
      </c>
      <c r="H109" s="141">
        <v>0</v>
      </c>
      <c r="I109" s="86">
        <f>662000-24800+1270000-54970</f>
        <v>1852230</v>
      </c>
      <c r="J109" s="231"/>
      <c r="K109" s="58">
        <v>2026</v>
      </c>
      <c r="L109" s="106">
        <f>76930+1226400+107475+64120</f>
        <v>1474925</v>
      </c>
      <c r="M109" s="106">
        <f t="shared" ref="M109:M122" si="13">I109-L109</f>
        <v>377305</v>
      </c>
      <c r="N109" s="142" t="s">
        <v>209</v>
      </c>
    </row>
    <row r="110" spans="1:14" s="142" customFormat="1" ht="18.75" x14ac:dyDescent="0.2">
      <c r="A110" s="267" t="s">
        <v>92</v>
      </c>
      <c r="B110" s="44">
        <v>8230</v>
      </c>
      <c r="C110" s="265" t="s">
        <v>94</v>
      </c>
      <c r="D110" s="266" t="s">
        <v>93</v>
      </c>
      <c r="E110" s="15" t="s">
        <v>10</v>
      </c>
      <c r="F110" s="268">
        <v>2021</v>
      </c>
      <c r="G110" s="86">
        <v>0</v>
      </c>
      <c r="H110" s="141">
        <v>0</v>
      </c>
      <c r="I110" s="86">
        <f>1905000-148800</f>
        <v>1756200</v>
      </c>
      <c r="J110" s="268"/>
      <c r="K110" s="58">
        <v>2055</v>
      </c>
      <c r="L110" s="106">
        <f>1839600-91980</f>
        <v>1747620</v>
      </c>
      <c r="M110" s="106">
        <f t="shared" si="13"/>
        <v>8580</v>
      </c>
      <c r="N110" s="142" t="s">
        <v>206</v>
      </c>
    </row>
    <row r="111" spans="1:14" s="142" customFormat="1" ht="47.25" x14ac:dyDescent="0.2">
      <c r="A111" s="269" t="s">
        <v>58</v>
      </c>
      <c r="B111" s="278">
        <v>6040</v>
      </c>
      <c r="C111" s="269" t="s">
        <v>60</v>
      </c>
      <c r="D111" s="275" t="s">
        <v>59</v>
      </c>
      <c r="E111" s="15" t="s">
        <v>97</v>
      </c>
      <c r="F111" s="30">
        <v>2021</v>
      </c>
      <c r="G111" s="86">
        <f t="shared" ref="G111:G113" si="14">I111</f>
        <v>6750</v>
      </c>
      <c r="H111" s="141">
        <v>0</v>
      </c>
      <c r="I111" s="86">
        <v>6750</v>
      </c>
      <c r="J111" s="30"/>
      <c r="K111" s="58">
        <v>2056</v>
      </c>
      <c r="L111" s="106"/>
      <c r="M111" s="106">
        <f t="shared" si="13"/>
        <v>6750</v>
      </c>
    </row>
    <row r="112" spans="1:14" s="142" customFormat="1" ht="47.25" x14ac:dyDescent="0.2">
      <c r="A112" s="270"/>
      <c r="B112" s="279"/>
      <c r="C112" s="270"/>
      <c r="D112" s="276"/>
      <c r="E112" s="15" t="s">
        <v>98</v>
      </c>
      <c r="F112" s="30">
        <v>2021</v>
      </c>
      <c r="G112" s="86">
        <f t="shared" si="14"/>
        <v>49900</v>
      </c>
      <c r="H112" s="141">
        <v>0</v>
      </c>
      <c r="I112" s="86">
        <v>49900</v>
      </c>
      <c r="J112" s="30"/>
      <c r="K112" s="58">
        <v>2057</v>
      </c>
      <c r="L112" s="106">
        <v>12883.24</v>
      </c>
      <c r="M112" s="106">
        <f t="shared" si="13"/>
        <v>37016.76</v>
      </c>
    </row>
    <row r="113" spans="1:52" s="142" customFormat="1" ht="47.25" x14ac:dyDescent="0.2">
      <c r="A113" s="270"/>
      <c r="B113" s="279"/>
      <c r="C113" s="270"/>
      <c r="D113" s="276"/>
      <c r="E113" s="15" t="s">
        <v>190</v>
      </c>
      <c r="F113" s="30">
        <v>2021</v>
      </c>
      <c r="G113" s="86">
        <f t="shared" si="14"/>
        <v>13088</v>
      </c>
      <c r="H113" s="141">
        <v>0</v>
      </c>
      <c r="I113" s="86">
        <v>13088</v>
      </c>
      <c r="J113" s="30"/>
      <c r="K113" s="58">
        <v>2058</v>
      </c>
      <c r="L113" s="106">
        <v>13088</v>
      </c>
      <c r="M113" s="106">
        <f t="shared" si="13"/>
        <v>0</v>
      </c>
    </row>
    <row r="114" spans="1:52" s="142" customFormat="1" ht="47.25" x14ac:dyDescent="0.2">
      <c r="A114" s="271"/>
      <c r="B114" s="280"/>
      <c r="C114" s="271"/>
      <c r="D114" s="277"/>
      <c r="E114" s="15" t="s">
        <v>99</v>
      </c>
      <c r="F114" s="30">
        <v>2021</v>
      </c>
      <c r="G114" s="86">
        <f>I114</f>
        <v>13088</v>
      </c>
      <c r="H114" s="141">
        <v>0</v>
      </c>
      <c r="I114" s="86">
        <v>13088</v>
      </c>
      <c r="J114" s="30"/>
      <c r="K114" s="58">
        <v>2059</v>
      </c>
      <c r="L114" s="106">
        <v>13088</v>
      </c>
      <c r="M114" s="106">
        <f t="shared" si="13"/>
        <v>0</v>
      </c>
    </row>
    <row r="115" spans="1:52" s="142" customFormat="1" ht="36.75" customHeight="1" x14ac:dyDescent="0.25">
      <c r="A115" s="138" t="s">
        <v>29</v>
      </c>
      <c r="B115" s="134">
        <v>7370</v>
      </c>
      <c r="C115" s="138" t="s">
        <v>5</v>
      </c>
      <c r="D115" s="145" t="s">
        <v>30</v>
      </c>
      <c r="E115" s="15" t="s">
        <v>120</v>
      </c>
      <c r="F115" s="30">
        <v>2021</v>
      </c>
      <c r="G115" s="86">
        <f>I115</f>
        <v>2737372</v>
      </c>
      <c r="H115" s="141">
        <v>0</v>
      </c>
      <c r="I115" s="86">
        <f>2752373-15001</f>
        <v>2737372</v>
      </c>
      <c r="J115" s="30"/>
      <c r="K115" s="58">
        <v>2060</v>
      </c>
      <c r="L115" s="106">
        <v>2712760</v>
      </c>
      <c r="M115" s="106">
        <f t="shared" si="13"/>
        <v>24612</v>
      </c>
    </row>
    <row r="116" spans="1:52" s="142" customFormat="1" ht="18.75" x14ac:dyDescent="0.2">
      <c r="A116" s="269" t="s">
        <v>11</v>
      </c>
      <c r="B116" s="278">
        <v>6030</v>
      </c>
      <c r="C116" s="269" t="s">
        <v>18</v>
      </c>
      <c r="D116" s="281" t="s">
        <v>19</v>
      </c>
      <c r="E116" s="334" t="s">
        <v>10</v>
      </c>
      <c r="F116" s="272">
        <v>2021</v>
      </c>
      <c r="G116" s="330">
        <v>0</v>
      </c>
      <c r="H116" s="332">
        <v>0</v>
      </c>
      <c r="I116" s="86">
        <v>2808550</v>
      </c>
      <c r="J116" s="30"/>
      <c r="K116" s="58">
        <v>2069</v>
      </c>
      <c r="L116" s="62">
        <f>2807400</f>
        <v>2807400</v>
      </c>
      <c r="M116" s="106">
        <f t="shared" si="13"/>
        <v>1150</v>
      </c>
    </row>
    <row r="117" spans="1:52" s="171" customFormat="1" ht="18.75" x14ac:dyDescent="0.2">
      <c r="A117" s="271"/>
      <c r="B117" s="280"/>
      <c r="C117" s="271"/>
      <c r="D117" s="283"/>
      <c r="E117" s="335"/>
      <c r="F117" s="274"/>
      <c r="G117" s="331"/>
      <c r="H117" s="333"/>
      <c r="I117" s="86">
        <v>1683000</v>
      </c>
      <c r="J117" s="30"/>
      <c r="K117" s="101">
        <v>2099</v>
      </c>
      <c r="L117" s="108">
        <v>1683000</v>
      </c>
      <c r="M117" s="108">
        <f t="shared" si="13"/>
        <v>0</v>
      </c>
      <c r="N117" s="171" t="s">
        <v>208</v>
      </c>
    </row>
    <row r="118" spans="1:52" s="142" customFormat="1" ht="47.25" x14ac:dyDescent="0.25">
      <c r="A118" s="255" t="s">
        <v>119</v>
      </c>
      <c r="B118" s="37">
        <v>7330</v>
      </c>
      <c r="C118" s="253" t="s">
        <v>5</v>
      </c>
      <c r="D118" s="254" t="s">
        <v>118</v>
      </c>
      <c r="E118" s="33" t="s">
        <v>142</v>
      </c>
      <c r="F118" s="256">
        <v>2021</v>
      </c>
      <c r="G118" s="86">
        <f>I118</f>
        <v>700000</v>
      </c>
      <c r="H118" s="141">
        <v>0</v>
      </c>
      <c r="I118" s="86">
        <v>700000</v>
      </c>
      <c r="J118" s="256"/>
      <c r="K118" s="58">
        <v>2098</v>
      </c>
      <c r="L118" s="106">
        <f>571347.6+126150.4</f>
        <v>697498</v>
      </c>
      <c r="M118" s="106">
        <f t="shared" si="13"/>
        <v>2502</v>
      </c>
    </row>
    <row r="119" spans="1:52" s="190" customFormat="1" ht="47.25" x14ac:dyDescent="0.25">
      <c r="A119" s="183" t="s">
        <v>188</v>
      </c>
      <c r="B119" s="184">
        <v>7361</v>
      </c>
      <c r="C119" s="183" t="s">
        <v>5</v>
      </c>
      <c r="D119" s="187" t="s">
        <v>189</v>
      </c>
      <c r="E119" s="96" t="s">
        <v>290</v>
      </c>
      <c r="F119" s="30">
        <v>2021</v>
      </c>
      <c r="G119" s="86">
        <v>25999836</v>
      </c>
      <c r="H119" s="141">
        <v>0</v>
      </c>
      <c r="I119" s="86">
        <v>47834</v>
      </c>
      <c r="J119" s="194"/>
      <c r="K119" s="58">
        <v>2005</v>
      </c>
      <c r="L119" s="191">
        <v>47834</v>
      </c>
      <c r="M119" s="106">
        <f t="shared" si="13"/>
        <v>0</v>
      </c>
    </row>
    <row r="120" spans="1:52" s="142" customFormat="1" ht="39.75" customHeight="1" x14ac:dyDescent="0.2">
      <c r="A120" s="135" t="s">
        <v>42</v>
      </c>
      <c r="B120" s="44">
        <v>7461</v>
      </c>
      <c r="C120" s="136" t="s">
        <v>20</v>
      </c>
      <c r="D120" s="139" t="s">
        <v>43</v>
      </c>
      <c r="E120" s="104" t="s">
        <v>247</v>
      </c>
      <c r="F120" s="30">
        <v>2021</v>
      </c>
      <c r="G120" s="86">
        <v>49920</v>
      </c>
      <c r="H120" s="141">
        <v>0</v>
      </c>
      <c r="I120" s="86">
        <v>49920</v>
      </c>
      <c r="J120" s="30"/>
      <c r="K120" s="58">
        <v>2147</v>
      </c>
      <c r="L120" s="106">
        <v>49920</v>
      </c>
      <c r="M120" s="106">
        <f t="shared" si="13"/>
        <v>0</v>
      </c>
    </row>
    <row r="121" spans="1:52" s="142" customFormat="1" ht="43.5" customHeight="1" x14ac:dyDescent="0.2">
      <c r="A121" s="215" t="s">
        <v>36</v>
      </c>
      <c r="B121" s="136">
        <v>9750</v>
      </c>
      <c r="C121" s="136" t="s">
        <v>22</v>
      </c>
      <c r="D121" s="139" t="s">
        <v>242</v>
      </c>
      <c r="E121" s="104" t="s">
        <v>265</v>
      </c>
      <c r="F121" s="30">
        <v>2021</v>
      </c>
      <c r="G121" s="86">
        <v>0</v>
      </c>
      <c r="H121" s="141">
        <v>0</v>
      </c>
      <c r="I121" s="86">
        <v>79168</v>
      </c>
      <c r="J121" s="30"/>
      <c r="K121" s="173">
        <v>2159</v>
      </c>
      <c r="L121" s="106"/>
      <c r="M121" s="106">
        <f t="shared" si="13"/>
        <v>79168</v>
      </c>
    </row>
    <row r="122" spans="1:52" s="142" customFormat="1" ht="43.5" customHeight="1" x14ac:dyDescent="0.2">
      <c r="A122" s="218" t="s">
        <v>37</v>
      </c>
      <c r="B122" s="219">
        <v>9770</v>
      </c>
      <c r="C122" s="219" t="s">
        <v>22</v>
      </c>
      <c r="D122" s="220" t="s">
        <v>38</v>
      </c>
      <c r="E122" s="104" t="s">
        <v>336</v>
      </c>
      <c r="F122" s="221">
        <v>2021</v>
      </c>
      <c r="G122" s="105">
        <v>8907209</v>
      </c>
      <c r="H122" s="141">
        <v>0</v>
      </c>
      <c r="I122" s="86">
        <v>4200000</v>
      </c>
      <c r="J122" s="221"/>
      <c r="K122" s="173">
        <v>2200</v>
      </c>
      <c r="L122" s="62">
        <v>3689279</v>
      </c>
      <c r="M122" s="106">
        <f t="shared" si="13"/>
        <v>510721</v>
      </c>
    </row>
    <row r="123" spans="1:52" s="122" customFormat="1" ht="18.75" customHeight="1" x14ac:dyDescent="0.2">
      <c r="D123" s="313" t="s">
        <v>141</v>
      </c>
      <c r="E123" s="301"/>
      <c r="F123" s="301"/>
      <c r="G123" s="301"/>
      <c r="H123" s="301"/>
      <c r="I123" s="301"/>
      <c r="J123" s="302"/>
      <c r="K123" s="121"/>
      <c r="L123" s="121"/>
      <c r="M123" s="121"/>
      <c r="N123" s="121"/>
      <c r="O123" s="121"/>
      <c r="P123" s="121"/>
      <c r="Q123" s="121"/>
      <c r="R123" s="121"/>
      <c r="S123" s="121"/>
      <c r="T123" s="121"/>
      <c r="U123" s="121"/>
      <c r="V123" s="121"/>
      <c r="W123" s="121"/>
      <c r="X123" s="121"/>
      <c r="Y123" s="121"/>
      <c r="Z123" s="121"/>
      <c r="AA123" s="121"/>
      <c r="AB123" s="121"/>
      <c r="AC123" s="121"/>
      <c r="AD123" s="121"/>
      <c r="AE123" s="121"/>
      <c r="AF123" s="121"/>
      <c r="AG123" s="121"/>
      <c r="AH123" s="121"/>
      <c r="AI123" s="121"/>
      <c r="AJ123" s="121"/>
      <c r="AK123" s="121"/>
      <c r="AL123" s="121"/>
      <c r="AM123" s="121"/>
      <c r="AN123" s="121"/>
      <c r="AO123" s="121"/>
      <c r="AP123" s="121"/>
      <c r="AQ123" s="121"/>
      <c r="AR123" s="121"/>
      <c r="AS123" s="121"/>
      <c r="AT123" s="121"/>
      <c r="AU123" s="121"/>
      <c r="AV123" s="121"/>
      <c r="AW123" s="121"/>
      <c r="AX123" s="121"/>
      <c r="AY123" s="121"/>
      <c r="AZ123" s="121"/>
    </row>
    <row r="124" spans="1:52" s="142" customFormat="1" ht="31.5" x14ac:dyDescent="0.2">
      <c r="A124" s="138" t="s">
        <v>159</v>
      </c>
      <c r="B124" s="37">
        <v>6082</v>
      </c>
      <c r="C124" s="138" t="s">
        <v>32</v>
      </c>
      <c r="D124" s="48" t="s">
        <v>160</v>
      </c>
      <c r="E124" s="15" t="s">
        <v>257</v>
      </c>
      <c r="F124" s="30">
        <v>2021</v>
      </c>
      <c r="G124" s="86">
        <v>4895627</v>
      </c>
      <c r="H124" s="141">
        <v>0</v>
      </c>
      <c r="I124" s="86">
        <v>3468900</v>
      </c>
      <c r="J124" s="30"/>
      <c r="K124" s="58">
        <v>2115</v>
      </c>
      <c r="L124" s="106"/>
      <c r="M124" s="106">
        <f>I124-L124</f>
        <v>3468900</v>
      </c>
      <c r="N124" s="178">
        <f>G124-I124</f>
        <v>1426727</v>
      </c>
    </row>
    <row r="125" spans="1:52" s="142" customFormat="1" ht="47.25" x14ac:dyDescent="0.2">
      <c r="A125" s="315" t="s">
        <v>55</v>
      </c>
      <c r="B125" s="342">
        <v>7363</v>
      </c>
      <c r="C125" s="303" t="s">
        <v>5</v>
      </c>
      <c r="D125" s="304" t="s">
        <v>56</v>
      </c>
      <c r="E125" s="15" t="s">
        <v>57</v>
      </c>
      <c r="F125" s="30">
        <v>2021</v>
      </c>
      <c r="G125" s="86">
        <v>5261884</v>
      </c>
      <c r="H125" s="141">
        <v>0</v>
      </c>
      <c r="I125" s="86">
        <v>3035438</v>
      </c>
      <c r="J125" s="30"/>
      <c r="K125" s="58">
        <v>2042</v>
      </c>
      <c r="L125" s="106">
        <f>36575.65+2748583.96</f>
        <v>2785159.61</v>
      </c>
      <c r="M125" s="106">
        <f>I125-L125</f>
        <v>250278.39000000013</v>
      </c>
    </row>
    <row r="126" spans="1:52" s="142" customFormat="1" ht="31.5" x14ac:dyDescent="0.2">
      <c r="A126" s="315"/>
      <c r="B126" s="342"/>
      <c r="C126" s="303"/>
      <c r="D126" s="304"/>
      <c r="E126" s="15" t="s">
        <v>263</v>
      </c>
      <c r="F126" s="226" t="s">
        <v>180</v>
      </c>
      <c r="G126" s="86">
        <v>40577110</v>
      </c>
      <c r="H126" s="141">
        <v>0</v>
      </c>
      <c r="I126" s="86">
        <f>3000000+8000000</f>
        <v>11000000</v>
      </c>
      <c r="J126" s="226"/>
      <c r="K126" s="58">
        <v>2158</v>
      </c>
      <c r="L126" s="106">
        <v>0</v>
      </c>
      <c r="M126" s="106">
        <f>I126-L126</f>
        <v>11000000</v>
      </c>
    </row>
    <row r="127" spans="1:52" s="142" customFormat="1" ht="34.5" customHeight="1" x14ac:dyDescent="0.2">
      <c r="A127" s="315"/>
      <c r="B127" s="342"/>
      <c r="C127" s="303"/>
      <c r="D127" s="304"/>
      <c r="E127" s="15" t="s">
        <v>339</v>
      </c>
      <c r="F127" s="226" t="s">
        <v>180</v>
      </c>
      <c r="G127" s="86">
        <v>31388746</v>
      </c>
      <c r="H127" s="141">
        <v>0</v>
      </c>
      <c r="I127" s="86">
        <v>25000000</v>
      </c>
      <c r="J127" s="226"/>
      <c r="K127" s="58">
        <v>2207</v>
      </c>
      <c r="L127" s="106"/>
      <c r="M127" s="106">
        <f>I127-L127</f>
        <v>25000000</v>
      </c>
    </row>
    <row r="128" spans="1:52" s="148" customFormat="1" ht="47.25" customHeight="1" x14ac:dyDescent="0.2">
      <c r="A128" s="321"/>
      <c r="B128" s="322"/>
      <c r="C128" s="323"/>
      <c r="D128" s="46" t="s">
        <v>292</v>
      </c>
      <c r="E128" s="146"/>
      <c r="F128" s="43" t="s">
        <v>7</v>
      </c>
      <c r="G128" s="82" t="s">
        <v>7</v>
      </c>
      <c r="H128" s="82" t="s">
        <v>7</v>
      </c>
      <c r="I128" s="82">
        <f>SUM(I129:I135)</f>
        <v>24705458</v>
      </c>
      <c r="J128" s="43" t="s">
        <v>7</v>
      </c>
      <c r="K128" s="174"/>
      <c r="L128" s="175"/>
      <c r="M128" s="176"/>
    </row>
    <row r="129" spans="1:52" s="142" customFormat="1" ht="47.25" x14ac:dyDescent="0.2">
      <c r="A129" s="269" t="s">
        <v>28</v>
      </c>
      <c r="B129" s="278">
        <v>7322</v>
      </c>
      <c r="C129" s="269" t="s">
        <v>200</v>
      </c>
      <c r="D129" s="305" t="s">
        <v>63</v>
      </c>
      <c r="E129" s="104" t="s">
        <v>48</v>
      </c>
      <c r="F129" s="268">
        <v>2021</v>
      </c>
      <c r="G129" s="86">
        <f>I129</f>
        <v>448800</v>
      </c>
      <c r="H129" s="141">
        <v>0</v>
      </c>
      <c r="I129" s="86">
        <f>300000+148800</f>
        <v>448800</v>
      </c>
      <c r="J129" s="268"/>
      <c r="K129" s="58">
        <v>2029</v>
      </c>
      <c r="L129" s="106">
        <v>297772.79999999999</v>
      </c>
      <c r="M129" s="106">
        <f>I129-L129</f>
        <v>151027.20000000001</v>
      </c>
    </row>
    <row r="130" spans="1:52" s="142" customFormat="1" ht="47.25" x14ac:dyDescent="0.2">
      <c r="A130" s="270"/>
      <c r="B130" s="279"/>
      <c r="C130" s="270"/>
      <c r="D130" s="306"/>
      <c r="E130" s="104" t="s">
        <v>259</v>
      </c>
      <c r="F130" s="30">
        <v>2021</v>
      </c>
      <c r="G130" s="86">
        <f>I130</f>
        <v>300000</v>
      </c>
      <c r="H130" s="141">
        <v>0</v>
      </c>
      <c r="I130" s="86">
        <v>300000</v>
      </c>
      <c r="J130" s="30"/>
      <c r="K130" s="58">
        <v>2030</v>
      </c>
      <c r="L130" s="106">
        <v>0</v>
      </c>
      <c r="M130" s="106">
        <f>I130-L130</f>
        <v>300000</v>
      </c>
    </row>
    <row r="131" spans="1:52" s="142" customFormat="1" ht="31.5" x14ac:dyDescent="0.2">
      <c r="A131" s="270"/>
      <c r="B131" s="279"/>
      <c r="C131" s="270"/>
      <c r="D131" s="306"/>
      <c r="E131" s="104" t="s">
        <v>205</v>
      </c>
      <c r="F131" s="268">
        <v>2021</v>
      </c>
      <c r="G131" s="86">
        <f>72852+I60</f>
        <v>3696403</v>
      </c>
      <c r="H131" s="141">
        <v>0</v>
      </c>
      <c r="I131" s="86">
        <f>72852+24355</f>
        <v>97207</v>
      </c>
      <c r="J131" s="268"/>
      <c r="K131" s="58">
        <v>2118</v>
      </c>
      <c r="L131" s="106">
        <v>0</v>
      </c>
      <c r="M131" s="106">
        <f>I131-L131</f>
        <v>97207</v>
      </c>
    </row>
    <row r="132" spans="1:52" s="142" customFormat="1" ht="33" customHeight="1" x14ac:dyDescent="0.2">
      <c r="A132" s="271"/>
      <c r="B132" s="280"/>
      <c r="C132" s="271"/>
      <c r="D132" s="307"/>
      <c r="E132" s="104" t="s">
        <v>360</v>
      </c>
      <c r="F132" s="268">
        <v>2021</v>
      </c>
      <c r="G132" s="86">
        <f>4478016-24355</f>
        <v>4453661</v>
      </c>
      <c r="H132" s="141">
        <v>0</v>
      </c>
      <c r="I132" s="86">
        <f>4478016-24355</f>
        <v>4453661</v>
      </c>
      <c r="J132" s="268"/>
      <c r="K132" s="58">
        <v>2169</v>
      </c>
      <c r="L132" s="62">
        <f>49959+856370.23+609434.7+798148.05+1612200.21</f>
        <v>3926112.19</v>
      </c>
      <c r="M132" s="106">
        <f>I132-L132</f>
        <v>527548.81000000006</v>
      </c>
    </row>
    <row r="133" spans="1:52" s="142" customFormat="1" ht="47.25" x14ac:dyDescent="0.2">
      <c r="A133" s="138" t="s">
        <v>78</v>
      </c>
      <c r="B133" s="37">
        <v>2111</v>
      </c>
      <c r="C133" s="138" t="s">
        <v>80</v>
      </c>
      <c r="D133" s="137" t="s">
        <v>79</v>
      </c>
      <c r="E133" s="104" t="s">
        <v>10</v>
      </c>
      <c r="F133" s="30">
        <v>2021</v>
      </c>
      <c r="G133" s="86">
        <v>0</v>
      </c>
      <c r="H133" s="141">
        <v>0</v>
      </c>
      <c r="I133" s="86">
        <v>45000</v>
      </c>
      <c r="J133" s="30"/>
      <c r="K133" s="58">
        <v>2050</v>
      </c>
      <c r="L133" s="106">
        <v>30550</v>
      </c>
      <c r="M133" s="106">
        <f>I133-L133</f>
        <v>14450</v>
      </c>
      <c r="N133" s="142" t="s">
        <v>211</v>
      </c>
    </row>
    <row r="134" spans="1:52" s="122" customFormat="1" ht="18.75" customHeight="1" x14ac:dyDescent="0.2">
      <c r="D134" s="313" t="s">
        <v>141</v>
      </c>
      <c r="E134" s="301"/>
      <c r="F134" s="301"/>
      <c r="G134" s="301"/>
      <c r="H134" s="301"/>
      <c r="I134" s="301"/>
      <c r="J134" s="302"/>
      <c r="K134" s="121"/>
      <c r="L134" s="121"/>
      <c r="M134" s="121"/>
      <c r="N134" s="121"/>
      <c r="O134" s="121"/>
      <c r="P134" s="121"/>
      <c r="Q134" s="121"/>
      <c r="R134" s="121"/>
      <c r="S134" s="121"/>
      <c r="T134" s="121"/>
      <c r="U134" s="121"/>
      <c r="V134" s="121"/>
      <c r="W134" s="121"/>
      <c r="X134" s="121"/>
      <c r="Y134" s="121"/>
      <c r="Z134" s="121"/>
      <c r="AA134" s="121"/>
      <c r="AB134" s="121"/>
      <c r="AC134" s="121"/>
      <c r="AD134" s="121"/>
      <c r="AE134" s="121"/>
      <c r="AF134" s="121"/>
      <c r="AG134" s="121"/>
      <c r="AH134" s="121"/>
      <c r="AI134" s="121"/>
      <c r="AJ134" s="121"/>
      <c r="AK134" s="121"/>
      <c r="AL134" s="121"/>
      <c r="AM134" s="121"/>
      <c r="AN134" s="121"/>
      <c r="AO134" s="121"/>
      <c r="AP134" s="121"/>
      <c r="AQ134" s="121"/>
      <c r="AR134" s="121"/>
      <c r="AS134" s="121"/>
      <c r="AT134" s="121"/>
      <c r="AU134" s="121"/>
      <c r="AV134" s="121"/>
      <c r="AW134" s="121"/>
      <c r="AX134" s="121"/>
      <c r="AY134" s="121"/>
      <c r="AZ134" s="121"/>
    </row>
    <row r="135" spans="1:52" s="142" customFormat="1" ht="47.25" x14ac:dyDescent="0.2">
      <c r="A135" s="225" t="s">
        <v>55</v>
      </c>
      <c r="B135" s="37">
        <v>7363</v>
      </c>
      <c r="C135" s="224" t="s">
        <v>5</v>
      </c>
      <c r="D135" s="227" t="s">
        <v>56</v>
      </c>
      <c r="E135" s="15" t="s">
        <v>340</v>
      </c>
      <c r="F135" s="226">
        <v>2021</v>
      </c>
      <c r="G135" s="86">
        <v>19360790</v>
      </c>
      <c r="H135" s="141">
        <v>0</v>
      </c>
      <c r="I135" s="86">
        <v>19360790</v>
      </c>
      <c r="J135" s="226"/>
      <c r="K135" s="58">
        <v>2029</v>
      </c>
      <c r="L135" s="62">
        <f>5290790</f>
        <v>5290790</v>
      </c>
      <c r="M135" s="106">
        <f>I135-L135</f>
        <v>14070000</v>
      </c>
      <c r="N135" s="178">
        <f>G135-I135</f>
        <v>0</v>
      </c>
    </row>
    <row r="136" spans="1:52" s="148" customFormat="1" ht="46.5" customHeight="1" x14ac:dyDescent="0.2">
      <c r="A136" s="321"/>
      <c r="B136" s="322"/>
      <c r="C136" s="323"/>
      <c r="D136" s="46" t="s">
        <v>293</v>
      </c>
      <c r="E136" s="146"/>
      <c r="F136" s="43" t="s">
        <v>7</v>
      </c>
      <c r="G136" s="82" t="s">
        <v>7</v>
      </c>
      <c r="H136" s="82" t="s">
        <v>7</v>
      </c>
      <c r="I136" s="82">
        <f>SUM(I137)</f>
        <v>5971904</v>
      </c>
      <c r="J136" s="43" t="s">
        <v>7</v>
      </c>
      <c r="K136" s="174"/>
      <c r="L136" s="175"/>
      <c r="M136" s="176"/>
    </row>
    <row r="137" spans="1:52" s="142" customFormat="1" ht="31.5" x14ac:dyDescent="0.25">
      <c r="A137" s="216" t="s">
        <v>49</v>
      </c>
      <c r="B137" s="217">
        <v>2080</v>
      </c>
      <c r="C137" s="216" t="s">
        <v>50</v>
      </c>
      <c r="D137" s="145" t="s">
        <v>51</v>
      </c>
      <c r="E137" s="104" t="s">
        <v>10</v>
      </c>
      <c r="F137" s="221">
        <v>2021</v>
      </c>
      <c r="G137" s="86">
        <v>0</v>
      </c>
      <c r="H137" s="141">
        <v>0</v>
      </c>
      <c r="I137" s="86">
        <f>1750000-82826+200000+2480000+1624730</f>
        <v>5971904</v>
      </c>
      <c r="J137" s="221"/>
      <c r="K137" s="58">
        <v>2037</v>
      </c>
      <c r="L137" s="62">
        <f>1650000+199900+2470000+1624730</f>
        <v>5944630</v>
      </c>
      <c r="M137" s="106">
        <f>I137-L137</f>
        <v>27274</v>
      </c>
      <c r="N137" s="142" t="s">
        <v>351</v>
      </c>
    </row>
    <row r="138" spans="1:52" s="149" customFormat="1" ht="18.75" x14ac:dyDescent="0.2">
      <c r="A138" s="321"/>
      <c r="B138" s="322"/>
      <c r="C138" s="323"/>
      <c r="D138" s="39" t="s">
        <v>96</v>
      </c>
      <c r="E138" s="146"/>
      <c r="F138" s="43" t="s">
        <v>7</v>
      </c>
      <c r="G138" s="82" t="s">
        <v>7</v>
      </c>
      <c r="H138" s="82" t="s">
        <v>7</v>
      </c>
      <c r="I138" s="82">
        <f>SUM(I139:I205)</f>
        <v>80195947.710000008</v>
      </c>
      <c r="J138" s="43" t="s">
        <v>7</v>
      </c>
      <c r="K138" s="158"/>
      <c r="L138" s="159"/>
      <c r="M138" s="160"/>
      <c r="N138" s="148"/>
      <c r="O138" s="148"/>
      <c r="P138" s="148"/>
      <c r="Q138" s="148"/>
      <c r="R138" s="148"/>
      <c r="S138" s="148"/>
      <c r="T138" s="148"/>
      <c r="U138" s="148"/>
      <c r="V138" s="148"/>
      <c r="W138" s="148"/>
      <c r="X138" s="148"/>
      <c r="Y138" s="148"/>
      <c r="Z138" s="148"/>
      <c r="AA138" s="148"/>
      <c r="AB138" s="148"/>
      <c r="AC138" s="148"/>
      <c r="AD138" s="148"/>
      <c r="AE138" s="148"/>
      <c r="AF138" s="148"/>
      <c r="AG138" s="148"/>
      <c r="AH138" s="148"/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</row>
    <row r="139" spans="1:52" s="142" customFormat="1" ht="33" customHeight="1" x14ac:dyDescent="0.2">
      <c r="A139" s="269" t="s">
        <v>31</v>
      </c>
      <c r="B139" s="278">
        <v>6011</v>
      </c>
      <c r="C139" s="269" t="s">
        <v>32</v>
      </c>
      <c r="D139" s="278" t="s">
        <v>33</v>
      </c>
      <c r="E139" s="104" t="s">
        <v>34</v>
      </c>
      <c r="F139" s="30">
        <v>2021</v>
      </c>
      <c r="G139" s="86">
        <f>I139</f>
        <v>1484700</v>
      </c>
      <c r="H139" s="141">
        <v>0</v>
      </c>
      <c r="I139" s="86">
        <v>1484700</v>
      </c>
      <c r="J139" s="30"/>
      <c r="K139" s="58">
        <v>2031</v>
      </c>
      <c r="L139" s="106">
        <v>1087870.1599999999</v>
      </c>
      <c r="M139" s="106">
        <f>I139-L139</f>
        <v>396829.84000000008</v>
      </c>
      <c r="N139" s="179">
        <v>1087870.1599999999</v>
      </c>
    </row>
    <row r="140" spans="1:52" s="142" customFormat="1" ht="31.5" x14ac:dyDescent="0.2">
      <c r="A140" s="271"/>
      <c r="B140" s="280"/>
      <c r="C140" s="271"/>
      <c r="D140" s="280"/>
      <c r="E140" s="104" t="s">
        <v>35</v>
      </c>
      <c r="F140" s="30">
        <v>2021</v>
      </c>
      <c r="G140" s="86">
        <f t="shared" ref="G140:G146" si="15">I140</f>
        <v>1478200</v>
      </c>
      <c r="H140" s="141">
        <v>0</v>
      </c>
      <c r="I140" s="86">
        <v>1478200</v>
      </c>
      <c r="J140" s="30"/>
      <c r="K140" s="58">
        <v>2032</v>
      </c>
      <c r="L140" s="106">
        <v>736760.86</v>
      </c>
      <c r="M140" s="106">
        <f>I140-L140</f>
        <v>741439.14</v>
      </c>
      <c r="N140" s="179">
        <v>736760.86</v>
      </c>
    </row>
    <row r="141" spans="1:52" s="142" customFormat="1" ht="31.5" x14ac:dyDescent="0.2">
      <c r="A141" s="202" t="s">
        <v>361</v>
      </c>
      <c r="B141" s="203">
        <v>6017</v>
      </c>
      <c r="C141" s="202" t="s">
        <v>18</v>
      </c>
      <c r="D141" s="203" t="s">
        <v>316</v>
      </c>
      <c r="E141" s="104" t="s">
        <v>317</v>
      </c>
      <c r="F141" s="204">
        <v>2021</v>
      </c>
      <c r="G141" s="86">
        <v>1403390</v>
      </c>
      <c r="H141" s="141">
        <v>0</v>
      </c>
      <c r="I141" s="86">
        <f>G141</f>
        <v>1403390</v>
      </c>
      <c r="J141" s="204"/>
      <c r="K141" s="58">
        <v>2197</v>
      </c>
      <c r="L141" s="62">
        <v>1303061.99</v>
      </c>
      <c r="M141" s="106">
        <f>I141-L141</f>
        <v>100328.01000000001</v>
      </c>
      <c r="N141" s="207"/>
    </row>
    <row r="142" spans="1:52" s="142" customFormat="1" ht="47.25" x14ac:dyDescent="0.2">
      <c r="A142" s="260" t="s">
        <v>246</v>
      </c>
      <c r="B142" s="264">
        <v>6013</v>
      </c>
      <c r="C142" s="260" t="s">
        <v>18</v>
      </c>
      <c r="D142" s="264" t="s">
        <v>245</v>
      </c>
      <c r="E142" s="104" t="s">
        <v>252</v>
      </c>
      <c r="F142" s="268">
        <v>2021</v>
      </c>
      <c r="G142" s="86">
        <v>49336</v>
      </c>
      <c r="H142" s="141">
        <v>0</v>
      </c>
      <c r="I142" s="86">
        <f>49336-3297.28</f>
        <v>46038.720000000001</v>
      </c>
      <c r="J142" s="268"/>
      <c r="K142" s="58">
        <v>2140</v>
      </c>
      <c r="L142" s="106"/>
      <c r="M142" s="106">
        <f t="shared" ref="M142:M193" si="16">I142-L142</f>
        <v>46038.720000000001</v>
      </c>
    </row>
    <row r="143" spans="1:52" s="142" customFormat="1" ht="31.5" x14ac:dyDescent="0.25">
      <c r="A143" s="269" t="s">
        <v>11</v>
      </c>
      <c r="B143" s="278">
        <v>6030</v>
      </c>
      <c r="C143" s="269" t="s">
        <v>18</v>
      </c>
      <c r="D143" s="281" t="s">
        <v>19</v>
      </c>
      <c r="E143" s="33" t="s">
        <v>122</v>
      </c>
      <c r="F143" s="268">
        <v>2021</v>
      </c>
      <c r="G143" s="86">
        <f t="shared" si="15"/>
        <v>512897.31</v>
      </c>
      <c r="H143" s="141">
        <v>0</v>
      </c>
      <c r="I143" s="86">
        <f>588027-75129.69</f>
        <v>512897.31</v>
      </c>
      <c r="J143" s="268"/>
      <c r="K143" s="58">
        <v>2061</v>
      </c>
      <c r="L143" s="106">
        <f>505400+7497.31</f>
        <v>512897.31</v>
      </c>
      <c r="M143" s="106">
        <f t="shared" si="16"/>
        <v>0</v>
      </c>
    </row>
    <row r="144" spans="1:52" s="142" customFormat="1" ht="31.5" x14ac:dyDescent="0.25">
      <c r="A144" s="270"/>
      <c r="B144" s="279"/>
      <c r="C144" s="270"/>
      <c r="D144" s="282"/>
      <c r="E144" s="33" t="s">
        <v>123</v>
      </c>
      <c r="F144" s="268">
        <v>2021</v>
      </c>
      <c r="G144" s="86">
        <f t="shared" si="15"/>
        <v>329712.82</v>
      </c>
      <c r="H144" s="141">
        <v>0</v>
      </c>
      <c r="I144" s="86">
        <f>413680-83967.18</f>
        <v>329712.82</v>
      </c>
      <c r="J144" s="268"/>
      <c r="K144" s="58">
        <v>2062</v>
      </c>
      <c r="L144" s="106">
        <v>329712.82</v>
      </c>
      <c r="M144" s="106">
        <f t="shared" si="16"/>
        <v>0</v>
      </c>
    </row>
    <row r="145" spans="1:13" s="142" customFormat="1" ht="31.5" x14ac:dyDescent="0.25">
      <c r="A145" s="270"/>
      <c r="B145" s="279"/>
      <c r="C145" s="270"/>
      <c r="D145" s="282"/>
      <c r="E145" s="33" t="s">
        <v>124</v>
      </c>
      <c r="F145" s="268">
        <v>2021</v>
      </c>
      <c r="G145" s="86">
        <f t="shared" si="15"/>
        <v>610349</v>
      </c>
      <c r="H145" s="141">
        <v>0</v>
      </c>
      <c r="I145" s="86">
        <v>610349</v>
      </c>
      <c r="J145" s="268"/>
      <c r="K145" s="58">
        <v>2063</v>
      </c>
      <c r="L145" s="106">
        <f>560848.84+8308.45</f>
        <v>569157.28999999992</v>
      </c>
      <c r="M145" s="106">
        <f t="shared" si="16"/>
        <v>41191.710000000079</v>
      </c>
    </row>
    <row r="146" spans="1:13" s="142" customFormat="1" ht="31.5" x14ac:dyDescent="0.25">
      <c r="A146" s="270"/>
      <c r="B146" s="279"/>
      <c r="C146" s="270"/>
      <c r="D146" s="282"/>
      <c r="E146" s="33" t="s">
        <v>125</v>
      </c>
      <c r="F146" s="268">
        <v>2021</v>
      </c>
      <c r="G146" s="86">
        <f t="shared" si="15"/>
        <v>537532.07000000007</v>
      </c>
      <c r="H146" s="141">
        <v>0</v>
      </c>
      <c r="I146" s="86">
        <f>725932-188399.93</f>
        <v>537532.07000000007</v>
      </c>
      <c r="J146" s="268"/>
      <c r="K146" s="58">
        <v>2064</v>
      </c>
      <c r="L146" s="106">
        <f>529700+7832.07</f>
        <v>537532.06999999995</v>
      </c>
      <c r="M146" s="106">
        <f t="shared" si="16"/>
        <v>0</v>
      </c>
    </row>
    <row r="147" spans="1:13" s="142" customFormat="1" ht="31.5" x14ac:dyDescent="0.25">
      <c r="A147" s="270"/>
      <c r="B147" s="279"/>
      <c r="C147" s="270"/>
      <c r="D147" s="282"/>
      <c r="E147" s="33" t="s">
        <v>126</v>
      </c>
      <c r="F147" s="268">
        <v>2021</v>
      </c>
      <c r="G147" s="86">
        <f t="shared" ref="G147:G149" si="17">I147</f>
        <v>40775</v>
      </c>
      <c r="H147" s="141">
        <v>0</v>
      </c>
      <c r="I147" s="86">
        <v>40775</v>
      </c>
      <c r="J147" s="268"/>
      <c r="K147" s="58">
        <v>2065</v>
      </c>
      <c r="L147" s="106">
        <v>40775</v>
      </c>
      <c r="M147" s="106">
        <f t="shared" si="16"/>
        <v>0</v>
      </c>
    </row>
    <row r="148" spans="1:13" s="142" customFormat="1" ht="31.5" x14ac:dyDescent="0.25">
      <c r="A148" s="270"/>
      <c r="B148" s="279"/>
      <c r="C148" s="270"/>
      <c r="D148" s="282"/>
      <c r="E148" s="33" t="s">
        <v>127</v>
      </c>
      <c r="F148" s="268">
        <v>2021</v>
      </c>
      <c r="G148" s="86">
        <f t="shared" si="17"/>
        <v>36293</v>
      </c>
      <c r="H148" s="141">
        <v>0</v>
      </c>
      <c r="I148" s="86">
        <v>36293</v>
      </c>
      <c r="J148" s="268"/>
      <c r="K148" s="58">
        <v>2066</v>
      </c>
      <c r="L148" s="106">
        <v>36293</v>
      </c>
      <c r="M148" s="106">
        <f t="shared" si="16"/>
        <v>0</v>
      </c>
    </row>
    <row r="149" spans="1:13" s="142" customFormat="1" ht="31.5" x14ac:dyDescent="0.25">
      <c r="A149" s="270"/>
      <c r="B149" s="279"/>
      <c r="C149" s="270"/>
      <c r="D149" s="282"/>
      <c r="E149" s="33" t="s">
        <v>128</v>
      </c>
      <c r="F149" s="268">
        <v>2021</v>
      </c>
      <c r="G149" s="86">
        <f t="shared" si="17"/>
        <v>29662</v>
      </c>
      <c r="H149" s="141">
        <v>0</v>
      </c>
      <c r="I149" s="86">
        <v>29662</v>
      </c>
      <c r="J149" s="268"/>
      <c r="K149" s="58">
        <v>2067</v>
      </c>
      <c r="L149" s="106">
        <v>29662</v>
      </c>
      <c r="M149" s="106">
        <f t="shared" si="16"/>
        <v>0</v>
      </c>
    </row>
    <row r="150" spans="1:13" s="142" customFormat="1" ht="31.5" x14ac:dyDescent="0.25">
      <c r="A150" s="270"/>
      <c r="B150" s="279"/>
      <c r="C150" s="270"/>
      <c r="D150" s="282"/>
      <c r="E150" s="33" t="s">
        <v>129</v>
      </c>
      <c r="F150" s="268">
        <v>2021</v>
      </c>
      <c r="G150" s="86">
        <f>I150</f>
        <v>34897</v>
      </c>
      <c r="H150" s="141">
        <v>0</v>
      </c>
      <c r="I150" s="86">
        <v>34897</v>
      </c>
      <c r="J150" s="268"/>
      <c r="K150" s="58">
        <v>2068</v>
      </c>
      <c r="L150" s="106">
        <v>34897</v>
      </c>
      <c r="M150" s="106">
        <f t="shared" si="16"/>
        <v>0</v>
      </c>
    </row>
    <row r="151" spans="1:13" s="142" customFormat="1" ht="31.5" x14ac:dyDescent="0.25">
      <c r="A151" s="270"/>
      <c r="B151" s="279"/>
      <c r="C151" s="270"/>
      <c r="D151" s="282"/>
      <c r="E151" s="33" t="s">
        <v>135</v>
      </c>
      <c r="F151" s="268">
        <v>2021</v>
      </c>
      <c r="G151" s="86">
        <v>0</v>
      </c>
      <c r="H151" s="141">
        <v>0</v>
      </c>
      <c r="I151" s="86">
        <v>381000</v>
      </c>
      <c r="J151" s="268"/>
      <c r="K151" s="58">
        <v>2070</v>
      </c>
      <c r="L151" s="106">
        <v>380400</v>
      </c>
      <c r="M151" s="106">
        <f t="shared" si="16"/>
        <v>600</v>
      </c>
    </row>
    <row r="152" spans="1:13" s="142" customFormat="1" ht="31.5" x14ac:dyDescent="0.25">
      <c r="A152" s="270"/>
      <c r="B152" s="279"/>
      <c r="C152" s="270"/>
      <c r="D152" s="282"/>
      <c r="E152" s="33" t="s">
        <v>102</v>
      </c>
      <c r="F152" s="268">
        <v>2021</v>
      </c>
      <c r="G152" s="86">
        <f t="shared" ref="G152:G155" si="18">I152</f>
        <v>38835</v>
      </c>
      <c r="H152" s="141">
        <v>0</v>
      </c>
      <c r="I152" s="86">
        <v>38835</v>
      </c>
      <c r="J152" s="268"/>
      <c r="K152" s="58">
        <v>2071</v>
      </c>
      <c r="L152" s="106">
        <v>38835</v>
      </c>
      <c r="M152" s="106">
        <f t="shared" si="16"/>
        <v>0</v>
      </c>
    </row>
    <row r="153" spans="1:13" s="142" customFormat="1" ht="18.75" x14ac:dyDescent="0.25">
      <c r="A153" s="270"/>
      <c r="B153" s="279"/>
      <c r="C153" s="270"/>
      <c r="D153" s="282"/>
      <c r="E153" s="33" t="s">
        <v>363</v>
      </c>
      <c r="F153" s="268">
        <v>2021</v>
      </c>
      <c r="G153" s="86">
        <f>G152+1072144</f>
        <v>1110979</v>
      </c>
      <c r="H153" s="141">
        <v>0</v>
      </c>
      <c r="I153" s="86">
        <v>1072144</v>
      </c>
      <c r="J153" s="268"/>
      <c r="K153" s="58">
        <v>2071</v>
      </c>
      <c r="L153" s="106"/>
      <c r="M153" s="106">
        <f t="shared" si="16"/>
        <v>1072144</v>
      </c>
    </row>
    <row r="154" spans="1:13" s="142" customFormat="1" ht="31.5" x14ac:dyDescent="0.25">
      <c r="A154" s="270"/>
      <c r="B154" s="279"/>
      <c r="C154" s="270"/>
      <c r="D154" s="282"/>
      <c r="E154" s="33" t="s">
        <v>111</v>
      </c>
      <c r="F154" s="268">
        <v>2021</v>
      </c>
      <c r="G154" s="86">
        <f t="shared" si="18"/>
        <v>49005</v>
      </c>
      <c r="H154" s="141">
        <v>0</v>
      </c>
      <c r="I154" s="86">
        <v>49005</v>
      </c>
      <c r="J154" s="268"/>
      <c r="K154" s="58">
        <v>2072</v>
      </c>
      <c r="L154" s="106">
        <v>49005</v>
      </c>
      <c r="M154" s="106">
        <f t="shared" si="16"/>
        <v>0</v>
      </c>
    </row>
    <row r="155" spans="1:13" s="142" customFormat="1" ht="31.5" x14ac:dyDescent="0.25">
      <c r="A155" s="270"/>
      <c r="B155" s="279"/>
      <c r="C155" s="270"/>
      <c r="D155" s="282"/>
      <c r="E155" s="33" t="s">
        <v>103</v>
      </c>
      <c r="F155" s="268">
        <v>2021</v>
      </c>
      <c r="G155" s="86">
        <f t="shared" si="18"/>
        <v>40977</v>
      </c>
      <c r="H155" s="141">
        <v>0</v>
      </c>
      <c r="I155" s="86">
        <v>40977</v>
      </c>
      <c r="J155" s="268"/>
      <c r="K155" s="58">
        <v>2073</v>
      </c>
      <c r="L155" s="106">
        <v>40977</v>
      </c>
      <c r="M155" s="106">
        <f t="shared" si="16"/>
        <v>0</v>
      </c>
    </row>
    <row r="156" spans="1:13" s="142" customFormat="1" ht="31.5" x14ac:dyDescent="0.25">
      <c r="A156" s="270"/>
      <c r="B156" s="279"/>
      <c r="C156" s="270"/>
      <c r="D156" s="282"/>
      <c r="E156" s="33" t="s">
        <v>104</v>
      </c>
      <c r="F156" s="268">
        <v>2021</v>
      </c>
      <c r="G156" s="86">
        <f>I156</f>
        <v>40356</v>
      </c>
      <c r="H156" s="141">
        <v>0</v>
      </c>
      <c r="I156" s="86">
        <v>40356</v>
      </c>
      <c r="J156" s="268"/>
      <c r="K156" s="58">
        <v>2074</v>
      </c>
      <c r="L156" s="106">
        <v>40356</v>
      </c>
      <c r="M156" s="106">
        <f t="shared" si="16"/>
        <v>0</v>
      </c>
    </row>
    <row r="157" spans="1:13" s="142" customFormat="1" ht="18.75" customHeight="1" x14ac:dyDescent="0.25">
      <c r="A157" s="270"/>
      <c r="B157" s="279"/>
      <c r="C157" s="270"/>
      <c r="D157" s="282"/>
      <c r="E157" s="33" t="s">
        <v>148</v>
      </c>
      <c r="F157" s="268">
        <v>2021</v>
      </c>
      <c r="G157" s="86">
        <f>I157</f>
        <v>421072.42</v>
      </c>
      <c r="H157" s="141">
        <v>0</v>
      </c>
      <c r="I157" s="86">
        <f>499860-78787.58</f>
        <v>421072.42</v>
      </c>
      <c r="J157" s="268"/>
      <c r="K157" s="58">
        <v>2100</v>
      </c>
      <c r="L157" s="106">
        <f>415000+6072.42</f>
        <v>421072.42</v>
      </c>
      <c r="M157" s="106">
        <f t="shared" si="16"/>
        <v>0</v>
      </c>
    </row>
    <row r="158" spans="1:13" s="142" customFormat="1" ht="31.5" x14ac:dyDescent="0.25">
      <c r="A158" s="270"/>
      <c r="B158" s="279"/>
      <c r="C158" s="270"/>
      <c r="D158" s="282"/>
      <c r="E158" s="33" t="s">
        <v>149</v>
      </c>
      <c r="F158" s="268">
        <v>2021</v>
      </c>
      <c r="G158" s="86">
        <f>I158</f>
        <v>3025397</v>
      </c>
      <c r="H158" s="141">
        <v>0</v>
      </c>
      <c r="I158" s="86">
        <v>3025397</v>
      </c>
      <c r="J158" s="268"/>
      <c r="K158" s="58">
        <v>2101</v>
      </c>
      <c r="L158" s="106">
        <f>2154795.24+8400+456761.41</f>
        <v>2619956.6500000004</v>
      </c>
      <c r="M158" s="106">
        <f t="shared" si="16"/>
        <v>405440.34999999963</v>
      </c>
    </row>
    <row r="159" spans="1:13" s="142" customFormat="1" ht="31.5" x14ac:dyDescent="0.25">
      <c r="A159" s="270"/>
      <c r="B159" s="279"/>
      <c r="C159" s="270"/>
      <c r="D159" s="282"/>
      <c r="E159" s="33" t="s">
        <v>152</v>
      </c>
      <c r="F159" s="268">
        <v>2021</v>
      </c>
      <c r="G159" s="86">
        <f>115243</f>
        <v>115243</v>
      </c>
      <c r="H159" s="141">
        <v>0</v>
      </c>
      <c r="I159" s="86">
        <v>115243</v>
      </c>
      <c r="J159" s="268"/>
      <c r="K159" s="58">
        <v>2114</v>
      </c>
      <c r="L159" s="106">
        <f>111916.01+1644.68</f>
        <v>113560.68999999999</v>
      </c>
      <c r="M159" s="106">
        <f t="shared" si="16"/>
        <v>1682.3100000000122</v>
      </c>
    </row>
    <row r="160" spans="1:13" s="142" customFormat="1" ht="18.75" x14ac:dyDescent="0.25">
      <c r="A160" s="270"/>
      <c r="B160" s="279"/>
      <c r="C160" s="270"/>
      <c r="D160" s="282"/>
      <c r="E160" s="33" t="s">
        <v>244</v>
      </c>
      <c r="F160" s="268">
        <v>2021</v>
      </c>
      <c r="G160" s="86">
        <v>1272809</v>
      </c>
      <c r="H160" s="141">
        <v>0</v>
      </c>
      <c r="I160" s="86">
        <v>1272809</v>
      </c>
      <c r="J160" s="268"/>
      <c r="K160" s="58">
        <v>2143</v>
      </c>
      <c r="L160" s="106">
        <f>1257160.66</f>
        <v>1257160.6599999999</v>
      </c>
      <c r="M160" s="106">
        <f t="shared" si="16"/>
        <v>15648.340000000084</v>
      </c>
    </row>
    <row r="161" spans="1:13" s="142" customFormat="1" ht="18.75" x14ac:dyDescent="0.25">
      <c r="A161" s="270"/>
      <c r="B161" s="279"/>
      <c r="C161" s="270"/>
      <c r="D161" s="282"/>
      <c r="E161" s="33" t="s">
        <v>254</v>
      </c>
      <c r="F161" s="268">
        <v>2021</v>
      </c>
      <c r="G161" s="86">
        <v>767239</v>
      </c>
      <c r="H161" s="141">
        <v>0</v>
      </c>
      <c r="I161" s="86">
        <v>767239</v>
      </c>
      <c r="J161" s="268"/>
      <c r="K161" s="58">
        <v>2152</v>
      </c>
      <c r="L161" s="62">
        <v>726208.82</v>
      </c>
      <c r="M161" s="106">
        <f t="shared" si="16"/>
        <v>41030.180000000051</v>
      </c>
    </row>
    <row r="162" spans="1:13" s="142" customFormat="1" ht="18.75" x14ac:dyDescent="0.25">
      <c r="A162" s="270"/>
      <c r="B162" s="279"/>
      <c r="C162" s="270"/>
      <c r="D162" s="282"/>
      <c r="E162" s="33" t="s">
        <v>270</v>
      </c>
      <c r="F162" s="268">
        <v>2021</v>
      </c>
      <c r="G162" s="86">
        <v>995000</v>
      </c>
      <c r="H162" s="141">
        <v>0</v>
      </c>
      <c r="I162" s="86">
        <f>G162</f>
        <v>995000</v>
      </c>
      <c r="J162" s="268"/>
      <c r="K162" s="58">
        <v>2165</v>
      </c>
      <c r="L162" s="106">
        <f>987431.32+30</f>
        <v>987461.32</v>
      </c>
      <c r="M162" s="106">
        <f t="shared" si="16"/>
        <v>7538.6800000000512</v>
      </c>
    </row>
    <row r="163" spans="1:13" s="142" customFormat="1" ht="31.5" x14ac:dyDescent="0.25">
      <c r="A163" s="270"/>
      <c r="B163" s="279"/>
      <c r="C163" s="270"/>
      <c r="D163" s="282"/>
      <c r="E163" s="33" t="s">
        <v>271</v>
      </c>
      <c r="F163" s="268">
        <v>2021</v>
      </c>
      <c r="G163" s="86">
        <v>38981</v>
      </c>
      <c r="H163" s="141">
        <v>0</v>
      </c>
      <c r="I163" s="86">
        <f t="shared" ref="I163:I165" si="19">G163</f>
        <v>38981</v>
      </c>
      <c r="J163" s="268"/>
      <c r="K163" s="58">
        <v>2166</v>
      </c>
      <c r="L163" s="106">
        <v>38981</v>
      </c>
      <c r="M163" s="106">
        <f t="shared" si="16"/>
        <v>0</v>
      </c>
    </row>
    <row r="164" spans="1:13" s="142" customFormat="1" ht="31.5" x14ac:dyDescent="0.25">
      <c r="A164" s="270"/>
      <c r="B164" s="279"/>
      <c r="C164" s="270"/>
      <c r="D164" s="282"/>
      <c r="E164" s="33" t="s">
        <v>272</v>
      </c>
      <c r="F164" s="268">
        <v>2021</v>
      </c>
      <c r="G164" s="86">
        <v>40198</v>
      </c>
      <c r="H164" s="141">
        <v>0</v>
      </c>
      <c r="I164" s="86">
        <f t="shared" si="19"/>
        <v>40198</v>
      </c>
      <c r="J164" s="268"/>
      <c r="K164" s="58">
        <v>2167</v>
      </c>
      <c r="L164" s="106">
        <v>40198</v>
      </c>
      <c r="M164" s="106">
        <f t="shared" si="16"/>
        <v>0</v>
      </c>
    </row>
    <row r="165" spans="1:13" s="142" customFormat="1" ht="31.5" x14ac:dyDescent="0.25">
      <c r="A165" s="270"/>
      <c r="B165" s="279"/>
      <c r="C165" s="270"/>
      <c r="D165" s="282"/>
      <c r="E165" s="33" t="s">
        <v>273</v>
      </c>
      <c r="F165" s="268">
        <v>2021</v>
      </c>
      <c r="G165" s="86">
        <v>42532</v>
      </c>
      <c r="H165" s="141">
        <v>0</v>
      </c>
      <c r="I165" s="86">
        <f t="shared" si="19"/>
        <v>42532</v>
      </c>
      <c r="J165" s="268"/>
      <c r="K165" s="58">
        <v>2168</v>
      </c>
      <c r="L165" s="106">
        <v>42532</v>
      </c>
      <c r="M165" s="106">
        <f t="shared" si="16"/>
        <v>0</v>
      </c>
    </row>
    <row r="166" spans="1:13" s="142" customFormat="1" ht="31.5" x14ac:dyDescent="0.25">
      <c r="A166" s="270"/>
      <c r="B166" s="279"/>
      <c r="C166" s="270"/>
      <c r="D166" s="282"/>
      <c r="E166" s="33" t="s">
        <v>329</v>
      </c>
      <c r="F166" s="268">
        <v>2021</v>
      </c>
      <c r="G166" s="86">
        <v>2444069</v>
      </c>
      <c r="H166" s="141">
        <v>0</v>
      </c>
      <c r="I166" s="86">
        <f>G166</f>
        <v>2444069</v>
      </c>
      <c r="J166" s="268"/>
      <c r="K166" s="58">
        <v>2201</v>
      </c>
      <c r="L166" s="106"/>
      <c r="M166" s="106">
        <f t="shared" si="16"/>
        <v>2444069</v>
      </c>
    </row>
    <row r="167" spans="1:13" s="142" customFormat="1" ht="31.5" x14ac:dyDescent="0.25">
      <c r="A167" s="270"/>
      <c r="B167" s="279"/>
      <c r="C167" s="270"/>
      <c r="D167" s="282"/>
      <c r="E167" s="33" t="s">
        <v>330</v>
      </c>
      <c r="F167" s="268">
        <v>2021</v>
      </c>
      <c r="G167" s="86">
        <v>1035749</v>
      </c>
      <c r="H167" s="141">
        <v>0</v>
      </c>
      <c r="I167" s="86">
        <f>G167</f>
        <v>1035749</v>
      </c>
      <c r="J167" s="268"/>
      <c r="K167" s="58">
        <v>2202</v>
      </c>
      <c r="L167" s="106"/>
      <c r="M167" s="106">
        <f t="shared" si="16"/>
        <v>1035749</v>
      </c>
    </row>
    <row r="168" spans="1:13" s="142" customFormat="1" ht="18.75" x14ac:dyDescent="0.25">
      <c r="A168" s="270"/>
      <c r="B168" s="279"/>
      <c r="C168" s="270"/>
      <c r="D168" s="282"/>
      <c r="E168" s="33" t="s">
        <v>359</v>
      </c>
      <c r="F168" s="268">
        <v>2021</v>
      </c>
      <c r="G168" s="86">
        <v>1502542</v>
      </c>
      <c r="H168" s="141">
        <v>0</v>
      </c>
      <c r="I168" s="86">
        <v>870928</v>
      </c>
      <c r="J168" s="268"/>
      <c r="K168" s="58">
        <v>2220</v>
      </c>
      <c r="L168" s="62">
        <v>516057.75</v>
      </c>
      <c r="M168" s="106">
        <f t="shared" si="16"/>
        <v>354870.25</v>
      </c>
    </row>
    <row r="169" spans="1:13" s="142" customFormat="1" ht="18.75" x14ac:dyDescent="0.25">
      <c r="A169" s="270"/>
      <c r="B169" s="279"/>
      <c r="C169" s="270"/>
      <c r="D169" s="282"/>
      <c r="E169" s="33" t="s">
        <v>10</v>
      </c>
      <c r="F169" s="268">
        <v>2021</v>
      </c>
      <c r="G169" s="86">
        <v>0</v>
      </c>
      <c r="H169" s="141">
        <v>0</v>
      </c>
      <c r="I169" s="86">
        <v>170000</v>
      </c>
      <c r="J169" s="268"/>
      <c r="K169" s="58">
        <v>2038</v>
      </c>
      <c r="L169" s="106"/>
      <c r="M169" s="106">
        <f>I169-L169</f>
        <v>170000</v>
      </c>
    </row>
    <row r="170" spans="1:13" s="142" customFormat="1" ht="18.75" x14ac:dyDescent="0.25">
      <c r="A170" s="270"/>
      <c r="B170" s="279"/>
      <c r="C170" s="270"/>
      <c r="D170" s="282"/>
      <c r="E170" s="33" t="s">
        <v>364</v>
      </c>
      <c r="F170" s="268">
        <v>2021</v>
      </c>
      <c r="G170" s="86">
        <v>49117.66</v>
      </c>
      <c r="H170" s="141">
        <v>0</v>
      </c>
      <c r="I170" s="86">
        <v>49117.66</v>
      </c>
      <c r="J170" s="268"/>
      <c r="K170" s="58">
        <v>2221</v>
      </c>
      <c r="L170" s="106"/>
      <c r="M170" s="106"/>
    </row>
    <row r="171" spans="1:13" s="142" customFormat="1" ht="18.75" x14ac:dyDescent="0.25">
      <c r="A171" s="271"/>
      <c r="B171" s="280"/>
      <c r="C171" s="271"/>
      <c r="D171" s="283"/>
      <c r="E171" s="33" t="s">
        <v>366</v>
      </c>
      <c r="F171" s="268">
        <v>2021</v>
      </c>
      <c r="G171" s="86">
        <v>1818919</v>
      </c>
      <c r="H171" s="141">
        <v>0</v>
      </c>
      <c r="I171" s="86">
        <v>964017</v>
      </c>
      <c r="J171" s="268"/>
      <c r="K171" s="58">
        <v>2223</v>
      </c>
      <c r="L171" s="62"/>
      <c r="M171" s="62"/>
    </row>
    <row r="172" spans="1:13" s="142" customFormat="1" ht="31.5" x14ac:dyDescent="0.25">
      <c r="A172" s="269" t="s">
        <v>58</v>
      </c>
      <c r="B172" s="278">
        <v>6040</v>
      </c>
      <c r="C172" s="269" t="s">
        <v>60</v>
      </c>
      <c r="D172" s="278" t="s">
        <v>59</v>
      </c>
      <c r="E172" s="33" t="s">
        <v>105</v>
      </c>
      <c r="F172" s="30">
        <v>2021</v>
      </c>
      <c r="G172" s="86">
        <f>I172</f>
        <v>49965</v>
      </c>
      <c r="H172" s="141">
        <v>0</v>
      </c>
      <c r="I172" s="86">
        <v>49965</v>
      </c>
      <c r="J172" s="30"/>
      <c r="K172" s="58">
        <v>2075</v>
      </c>
      <c r="L172" s="106">
        <v>49965</v>
      </c>
      <c r="M172" s="106">
        <f t="shared" si="16"/>
        <v>0</v>
      </c>
    </row>
    <row r="173" spans="1:13" s="142" customFormat="1" ht="31.5" x14ac:dyDescent="0.2">
      <c r="A173" s="271"/>
      <c r="B173" s="280"/>
      <c r="C173" s="271"/>
      <c r="D173" s="280"/>
      <c r="E173" s="15" t="s">
        <v>101</v>
      </c>
      <c r="F173" s="268">
        <v>2021</v>
      </c>
      <c r="G173" s="86">
        <f>I173</f>
        <v>3210095.66</v>
      </c>
      <c r="H173" s="141">
        <v>0</v>
      </c>
      <c r="I173" s="86">
        <f>3744531-534435.34</f>
        <v>3210095.66</v>
      </c>
      <c r="J173" s="268"/>
      <c r="K173" s="58">
        <v>2076</v>
      </c>
      <c r="L173" s="62">
        <f>2721913.3+435019.76</f>
        <v>3156933.0599999996</v>
      </c>
      <c r="M173" s="106">
        <f t="shared" si="16"/>
        <v>53162.600000000559</v>
      </c>
    </row>
    <row r="174" spans="1:13" s="142" customFormat="1" ht="31.5" x14ac:dyDescent="0.25">
      <c r="A174" s="311"/>
      <c r="B174" s="273"/>
      <c r="C174" s="270"/>
      <c r="D174" s="282"/>
      <c r="E174" s="96" t="s">
        <v>130</v>
      </c>
      <c r="F174" s="210">
        <v>2021</v>
      </c>
      <c r="G174" s="86">
        <f>I174</f>
        <v>29313</v>
      </c>
      <c r="H174" s="141">
        <v>0</v>
      </c>
      <c r="I174" s="86">
        <v>29313</v>
      </c>
      <c r="J174" s="210"/>
      <c r="K174" s="58">
        <v>2079</v>
      </c>
      <c r="L174" s="106">
        <v>29313</v>
      </c>
      <c r="M174" s="106">
        <f t="shared" si="16"/>
        <v>0</v>
      </c>
    </row>
    <row r="175" spans="1:13" s="142" customFormat="1" ht="18.75" x14ac:dyDescent="0.25">
      <c r="A175" s="311"/>
      <c r="B175" s="273"/>
      <c r="C175" s="270"/>
      <c r="D175" s="282"/>
      <c r="E175" s="96" t="s">
        <v>240</v>
      </c>
      <c r="F175" s="268">
        <v>2021</v>
      </c>
      <c r="G175" s="86">
        <f>I175</f>
        <v>321735.34000000008</v>
      </c>
      <c r="H175" s="141">
        <v>0</v>
      </c>
      <c r="I175" s="86">
        <f>1380691+111806-1121261.66-49500</f>
        <v>321735.34000000008</v>
      </c>
      <c r="J175" s="268"/>
      <c r="K175" s="58">
        <v>2080</v>
      </c>
      <c r="L175" s="106"/>
      <c r="M175" s="106">
        <f t="shared" si="16"/>
        <v>321735.34000000008</v>
      </c>
    </row>
    <row r="176" spans="1:13" s="142" customFormat="1" ht="31.5" x14ac:dyDescent="0.25">
      <c r="A176" s="311"/>
      <c r="B176" s="273"/>
      <c r="C176" s="270"/>
      <c r="D176" s="282"/>
      <c r="E176" s="96" t="s">
        <v>107</v>
      </c>
      <c r="F176" s="30">
        <v>2021</v>
      </c>
      <c r="G176" s="86">
        <f t="shared" ref="G176:G177" si="20">I176</f>
        <v>48777</v>
      </c>
      <c r="H176" s="141">
        <v>0</v>
      </c>
      <c r="I176" s="86">
        <v>48777</v>
      </c>
      <c r="J176" s="30"/>
      <c r="K176" s="58">
        <v>2081</v>
      </c>
      <c r="L176" s="106">
        <f>I176</f>
        <v>48777</v>
      </c>
      <c r="M176" s="106">
        <f t="shared" si="16"/>
        <v>0</v>
      </c>
    </row>
    <row r="177" spans="1:13" s="142" customFormat="1" ht="31.5" x14ac:dyDescent="0.25">
      <c r="A177" s="311"/>
      <c r="B177" s="273"/>
      <c r="C177" s="270"/>
      <c r="D177" s="282"/>
      <c r="E177" s="96" t="s">
        <v>106</v>
      </c>
      <c r="F177" s="30">
        <v>2021</v>
      </c>
      <c r="G177" s="86">
        <f t="shared" si="20"/>
        <v>47835</v>
      </c>
      <c r="H177" s="141">
        <v>0</v>
      </c>
      <c r="I177" s="86">
        <v>47835</v>
      </c>
      <c r="J177" s="30"/>
      <c r="K177" s="58">
        <v>2082</v>
      </c>
      <c r="L177" s="106">
        <f>I177</f>
        <v>47835</v>
      </c>
      <c r="M177" s="106">
        <f t="shared" si="16"/>
        <v>0</v>
      </c>
    </row>
    <row r="178" spans="1:13" s="142" customFormat="1" ht="31.5" x14ac:dyDescent="0.25">
      <c r="A178" s="311"/>
      <c r="B178" s="273"/>
      <c r="C178" s="270"/>
      <c r="D178" s="282"/>
      <c r="E178" s="96" t="s">
        <v>110</v>
      </c>
      <c r="F178" s="30">
        <v>2021</v>
      </c>
      <c r="G178" s="86">
        <f t="shared" ref="G178:G187" si="21">I178</f>
        <v>25000</v>
      </c>
      <c r="H178" s="141">
        <v>0</v>
      </c>
      <c r="I178" s="86">
        <v>25000</v>
      </c>
      <c r="J178" s="30"/>
      <c r="K178" s="58">
        <v>2083</v>
      </c>
      <c r="L178" s="106">
        <f>I178</f>
        <v>25000</v>
      </c>
      <c r="M178" s="106">
        <f t="shared" si="16"/>
        <v>0</v>
      </c>
    </row>
    <row r="179" spans="1:13" s="142" customFormat="1" ht="31.5" x14ac:dyDescent="0.25">
      <c r="A179" s="311"/>
      <c r="B179" s="273"/>
      <c r="C179" s="270"/>
      <c r="D179" s="282"/>
      <c r="E179" s="96" t="s">
        <v>131</v>
      </c>
      <c r="F179" s="30">
        <v>2021</v>
      </c>
      <c r="G179" s="86">
        <f t="shared" si="21"/>
        <v>49899</v>
      </c>
      <c r="H179" s="141">
        <v>0</v>
      </c>
      <c r="I179" s="86">
        <v>49899</v>
      </c>
      <c r="J179" s="30"/>
      <c r="K179" s="58">
        <v>2084</v>
      </c>
      <c r="L179" s="106">
        <f>I179</f>
        <v>49899</v>
      </c>
      <c r="M179" s="106">
        <f t="shared" si="16"/>
        <v>0</v>
      </c>
    </row>
    <row r="180" spans="1:13" s="142" customFormat="1" ht="31.5" x14ac:dyDescent="0.25">
      <c r="A180" s="311"/>
      <c r="B180" s="273"/>
      <c r="C180" s="270"/>
      <c r="D180" s="282"/>
      <c r="E180" s="96" t="s">
        <v>132</v>
      </c>
      <c r="F180" s="30">
        <v>2021</v>
      </c>
      <c r="G180" s="86">
        <f t="shared" si="21"/>
        <v>35854</v>
      </c>
      <c r="H180" s="141">
        <v>0</v>
      </c>
      <c r="I180" s="86">
        <v>35854</v>
      </c>
      <c r="J180" s="30"/>
      <c r="K180" s="58">
        <v>2085</v>
      </c>
      <c r="L180" s="106">
        <f>I180</f>
        <v>35854</v>
      </c>
      <c r="M180" s="106">
        <f t="shared" si="16"/>
        <v>0</v>
      </c>
    </row>
    <row r="181" spans="1:13" s="142" customFormat="1" ht="31.5" x14ac:dyDescent="0.25">
      <c r="A181" s="311"/>
      <c r="B181" s="273"/>
      <c r="C181" s="270"/>
      <c r="D181" s="282"/>
      <c r="E181" s="96" t="s">
        <v>133</v>
      </c>
      <c r="F181" s="30">
        <v>2021</v>
      </c>
      <c r="G181" s="86">
        <f t="shared" si="21"/>
        <v>197823</v>
      </c>
      <c r="H181" s="141">
        <v>0</v>
      </c>
      <c r="I181" s="86">
        <v>197823</v>
      </c>
      <c r="J181" s="30"/>
      <c r="K181" s="58">
        <v>2086</v>
      </c>
      <c r="L181" s="106">
        <v>196302</v>
      </c>
      <c r="M181" s="106">
        <f t="shared" si="16"/>
        <v>1521</v>
      </c>
    </row>
    <row r="182" spans="1:13" s="142" customFormat="1" ht="31.5" x14ac:dyDescent="0.25">
      <c r="A182" s="311"/>
      <c r="B182" s="273"/>
      <c r="C182" s="270"/>
      <c r="D182" s="282"/>
      <c r="E182" s="96" t="s">
        <v>134</v>
      </c>
      <c r="F182" s="30">
        <v>2021</v>
      </c>
      <c r="G182" s="86">
        <f t="shared" si="21"/>
        <v>49122</v>
      </c>
      <c r="H182" s="141">
        <v>0</v>
      </c>
      <c r="I182" s="86">
        <v>49122</v>
      </c>
      <c r="J182" s="30"/>
      <c r="K182" s="58">
        <v>2087</v>
      </c>
      <c r="L182" s="106">
        <f>I182</f>
        <v>49122</v>
      </c>
      <c r="M182" s="106">
        <f t="shared" si="16"/>
        <v>0</v>
      </c>
    </row>
    <row r="183" spans="1:13" s="142" customFormat="1" ht="31.5" x14ac:dyDescent="0.25">
      <c r="A183" s="311"/>
      <c r="B183" s="273"/>
      <c r="C183" s="270"/>
      <c r="D183" s="282"/>
      <c r="E183" s="96" t="s">
        <v>109</v>
      </c>
      <c r="F183" s="30">
        <v>2021</v>
      </c>
      <c r="G183" s="86">
        <f t="shared" si="21"/>
        <v>49730</v>
      </c>
      <c r="H183" s="141">
        <v>0</v>
      </c>
      <c r="I183" s="86">
        <v>49730</v>
      </c>
      <c r="J183" s="30"/>
      <c r="K183" s="58">
        <v>2088</v>
      </c>
      <c r="L183" s="106">
        <f>I183</f>
        <v>49730</v>
      </c>
      <c r="M183" s="106">
        <f t="shared" si="16"/>
        <v>0</v>
      </c>
    </row>
    <row r="184" spans="1:13" s="142" customFormat="1" ht="31.5" x14ac:dyDescent="0.25">
      <c r="A184" s="311"/>
      <c r="B184" s="273"/>
      <c r="C184" s="270"/>
      <c r="D184" s="282"/>
      <c r="E184" s="33" t="s">
        <v>108</v>
      </c>
      <c r="F184" s="30">
        <v>2021</v>
      </c>
      <c r="G184" s="86">
        <f t="shared" si="21"/>
        <v>152924</v>
      </c>
      <c r="H184" s="141">
        <v>0</v>
      </c>
      <c r="I184" s="86">
        <v>152924</v>
      </c>
      <c r="J184" s="30"/>
      <c r="K184" s="58">
        <v>2089</v>
      </c>
      <c r="L184" s="106"/>
      <c r="M184" s="106">
        <f t="shared" si="16"/>
        <v>152924</v>
      </c>
    </row>
    <row r="185" spans="1:13" s="142" customFormat="1" ht="31.5" x14ac:dyDescent="0.25">
      <c r="A185" s="311"/>
      <c r="B185" s="273"/>
      <c r="C185" s="270"/>
      <c r="D185" s="282"/>
      <c r="E185" s="33" t="s">
        <v>112</v>
      </c>
      <c r="F185" s="30">
        <v>2021</v>
      </c>
      <c r="G185" s="86">
        <f t="shared" si="21"/>
        <v>49359</v>
      </c>
      <c r="H185" s="141">
        <v>0</v>
      </c>
      <c r="I185" s="86">
        <v>49359</v>
      </c>
      <c r="J185" s="30"/>
      <c r="K185" s="58">
        <v>2090</v>
      </c>
      <c r="L185" s="106">
        <f>I185</f>
        <v>49359</v>
      </c>
      <c r="M185" s="106">
        <f t="shared" si="16"/>
        <v>0</v>
      </c>
    </row>
    <row r="186" spans="1:13" s="142" customFormat="1" ht="31.5" x14ac:dyDescent="0.25">
      <c r="A186" s="311"/>
      <c r="B186" s="273"/>
      <c r="C186" s="270"/>
      <c r="D186" s="282"/>
      <c r="E186" s="96" t="s">
        <v>136</v>
      </c>
      <c r="F186" s="30">
        <v>2021</v>
      </c>
      <c r="G186" s="86">
        <f t="shared" si="21"/>
        <v>25375</v>
      </c>
      <c r="H186" s="141">
        <v>0</v>
      </c>
      <c r="I186" s="86">
        <v>25375</v>
      </c>
      <c r="J186" s="30"/>
      <c r="K186" s="58">
        <v>2091</v>
      </c>
      <c r="L186" s="106">
        <f>I186</f>
        <v>25375</v>
      </c>
      <c r="M186" s="106">
        <f t="shared" si="16"/>
        <v>0</v>
      </c>
    </row>
    <row r="187" spans="1:13" s="142" customFormat="1" ht="47.25" x14ac:dyDescent="0.25">
      <c r="A187" s="311"/>
      <c r="B187" s="273"/>
      <c r="C187" s="270"/>
      <c r="D187" s="282"/>
      <c r="E187" s="33" t="s">
        <v>113</v>
      </c>
      <c r="F187" s="30">
        <v>2021</v>
      </c>
      <c r="G187" s="86">
        <f t="shared" si="21"/>
        <v>165400</v>
      </c>
      <c r="H187" s="141">
        <v>0</v>
      </c>
      <c r="I187" s="86">
        <v>165400</v>
      </c>
      <c r="J187" s="30"/>
      <c r="K187" s="58">
        <v>2092</v>
      </c>
      <c r="L187" s="106">
        <v>163473</v>
      </c>
      <c r="M187" s="106">
        <f t="shared" si="16"/>
        <v>1927</v>
      </c>
    </row>
    <row r="188" spans="1:13" s="171" customFormat="1" ht="31.5" x14ac:dyDescent="0.25">
      <c r="A188" s="311"/>
      <c r="B188" s="273"/>
      <c r="C188" s="270"/>
      <c r="D188" s="282"/>
      <c r="E188" s="33" t="s">
        <v>153</v>
      </c>
      <c r="F188" s="30">
        <v>2021</v>
      </c>
      <c r="G188" s="86">
        <f>I188</f>
        <v>455618.78</v>
      </c>
      <c r="H188" s="141">
        <v>0</v>
      </c>
      <c r="I188" s="86">
        <v>455618.78</v>
      </c>
      <c r="J188" s="30"/>
      <c r="K188" s="101">
        <v>2102</v>
      </c>
      <c r="L188" s="108"/>
      <c r="M188" s="108">
        <f t="shared" si="16"/>
        <v>455618.78</v>
      </c>
    </row>
    <row r="189" spans="1:13" s="171" customFormat="1" ht="31.5" x14ac:dyDescent="0.25">
      <c r="A189" s="311"/>
      <c r="B189" s="273"/>
      <c r="C189" s="270"/>
      <c r="D189" s="282"/>
      <c r="E189" s="33" t="s">
        <v>154</v>
      </c>
      <c r="F189" s="30">
        <v>2021</v>
      </c>
      <c r="G189" s="86">
        <f>I189</f>
        <v>6575.93</v>
      </c>
      <c r="H189" s="141">
        <v>0</v>
      </c>
      <c r="I189" s="86">
        <v>6575.93</v>
      </c>
      <c r="J189" s="30"/>
      <c r="K189" s="101">
        <v>2103</v>
      </c>
      <c r="L189" s="108"/>
      <c r="M189" s="108">
        <f t="shared" si="16"/>
        <v>6575.93</v>
      </c>
    </row>
    <row r="190" spans="1:13" s="171" customFormat="1" ht="31.5" x14ac:dyDescent="0.25">
      <c r="A190" s="311"/>
      <c r="B190" s="273"/>
      <c r="C190" s="270"/>
      <c r="D190" s="282"/>
      <c r="E190" s="33" t="s">
        <v>150</v>
      </c>
      <c r="F190" s="30">
        <v>2021</v>
      </c>
      <c r="G190" s="86">
        <f>I190</f>
        <v>4649124</v>
      </c>
      <c r="H190" s="141">
        <v>0</v>
      </c>
      <c r="I190" s="86">
        <v>4649124</v>
      </c>
      <c r="J190" s="30"/>
      <c r="K190" s="101">
        <v>2104</v>
      </c>
      <c r="L190" s="108">
        <f>13020+1722326.19+1415062.1</f>
        <v>3150408.29</v>
      </c>
      <c r="M190" s="108">
        <f t="shared" si="16"/>
        <v>1498715.71</v>
      </c>
    </row>
    <row r="191" spans="1:13" s="142" customFormat="1" ht="31.5" x14ac:dyDescent="0.25">
      <c r="A191" s="311"/>
      <c r="B191" s="273"/>
      <c r="C191" s="270"/>
      <c r="D191" s="282"/>
      <c r="E191" s="33" t="s">
        <v>147</v>
      </c>
      <c r="F191" s="30">
        <v>2021</v>
      </c>
      <c r="G191" s="86">
        <f>I191</f>
        <v>2086945</v>
      </c>
      <c r="H191" s="141">
        <v>0</v>
      </c>
      <c r="I191" s="86">
        <v>2086945</v>
      </c>
      <c r="J191" s="30"/>
      <c r="K191" s="58">
        <v>2105</v>
      </c>
      <c r="L191" s="62">
        <f>6289.5+1602174.16+103499.08</f>
        <v>1711962.74</v>
      </c>
      <c r="M191" s="106">
        <f t="shared" si="16"/>
        <v>374982.26</v>
      </c>
    </row>
    <row r="192" spans="1:13" s="142" customFormat="1" ht="18.75" x14ac:dyDescent="0.25">
      <c r="A192" s="311"/>
      <c r="B192" s="273"/>
      <c r="C192" s="270"/>
      <c r="D192" s="282"/>
      <c r="E192" s="33" t="s">
        <v>243</v>
      </c>
      <c r="F192" s="30">
        <v>2021</v>
      </c>
      <c r="G192" s="86">
        <v>2639078</v>
      </c>
      <c r="H192" s="141">
        <v>0</v>
      </c>
      <c r="I192" s="86">
        <f>G192</f>
        <v>2639078</v>
      </c>
      <c r="J192" s="30"/>
      <c r="K192" s="58">
        <v>2141</v>
      </c>
      <c r="L192" s="62">
        <f>590409.9+1545060.32</f>
        <v>2135470.2200000002</v>
      </c>
      <c r="M192" s="106">
        <f t="shared" si="16"/>
        <v>503607.7799999998</v>
      </c>
    </row>
    <row r="193" spans="1:52" s="142" customFormat="1" ht="31.5" x14ac:dyDescent="0.25">
      <c r="A193" s="311"/>
      <c r="B193" s="273"/>
      <c r="C193" s="270"/>
      <c r="D193" s="282"/>
      <c r="E193" s="33" t="s">
        <v>315</v>
      </c>
      <c r="F193" s="204">
        <v>2021</v>
      </c>
      <c r="G193" s="86">
        <v>1729192</v>
      </c>
      <c r="H193" s="141">
        <v>0</v>
      </c>
      <c r="I193" s="86">
        <v>1729192</v>
      </c>
      <c r="J193" s="204"/>
      <c r="K193" s="58">
        <v>2196</v>
      </c>
      <c r="L193" s="62">
        <f>47728+1296235.33</f>
        <v>1343963.33</v>
      </c>
      <c r="M193" s="106">
        <f t="shared" si="16"/>
        <v>385228.66999999993</v>
      </c>
    </row>
    <row r="194" spans="1:52" s="142" customFormat="1" ht="31.5" x14ac:dyDescent="0.25">
      <c r="A194" s="311"/>
      <c r="B194" s="273"/>
      <c r="C194" s="270"/>
      <c r="D194" s="282"/>
      <c r="E194" s="33" t="s">
        <v>331</v>
      </c>
      <c r="F194" s="221">
        <v>2021</v>
      </c>
      <c r="G194" s="86">
        <v>1500000</v>
      </c>
      <c r="H194" s="141">
        <v>0</v>
      </c>
      <c r="I194" s="86">
        <f>G194</f>
        <v>1500000</v>
      </c>
      <c r="J194" s="221"/>
      <c r="K194" s="58">
        <v>2203</v>
      </c>
      <c r="L194" s="62"/>
      <c r="M194" s="106"/>
    </row>
    <row r="195" spans="1:52" s="142" customFormat="1" ht="31.5" x14ac:dyDescent="0.25">
      <c r="A195" s="311"/>
      <c r="B195" s="273"/>
      <c r="C195" s="270"/>
      <c r="D195" s="282"/>
      <c r="E195" s="33" t="s">
        <v>332</v>
      </c>
      <c r="F195" s="221">
        <v>2021</v>
      </c>
      <c r="G195" s="86">
        <v>1500000</v>
      </c>
      <c r="H195" s="141">
        <v>0</v>
      </c>
      <c r="I195" s="86">
        <f>G195</f>
        <v>1500000</v>
      </c>
      <c r="J195" s="221"/>
      <c r="K195" s="58">
        <v>2204</v>
      </c>
      <c r="L195" s="62"/>
      <c r="M195" s="106"/>
    </row>
    <row r="196" spans="1:52" s="142" customFormat="1" ht="31.5" x14ac:dyDescent="0.25">
      <c r="A196" s="312"/>
      <c r="B196" s="274"/>
      <c r="C196" s="271"/>
      <c r="D196" s="283"/>
      <c r="E196" s="33" t="s">
        <v>335</v>
      </c>
      <c r="F196" s="221">
        <v>2021</v>
      </c>
      <c r="G196" s="86">
        <v>1619192</v>
      </c>
      <c r="H196" s="141">
        <v>0</v>
      </c>
      <c r="I196" s="86">
        <f>G196</f>
        <v>1619192</v>
      </c>
      <c r="J196" s="221"/>
      <c r="K196" s="58">
        <v>2206</v>
      </c>
      <c r="L196" s="62"/>
      <c r="M196" s="106"/>
    </row>
    <row r="197" spans="1:52" s="142" customFormat="1" ht="31.5" x14ac:dyDescent="0.25">
      <c r="A197" s="269" t="s">
        <v>119</v>
      </c>
      <c r="B197" s="278">
        <v>7330</v>
      </c>
      <c r="C197" s="269" t="s">
        <v>24</v>
      </c>
      <c r="D197" s="336" t="s">
        <v>118</v>
      </c>
      <c r="E197" s="33" t="s">
        <v>164</v>
      </c>
      <c r="F197" s="30">
        <v>2021</v>
      </c>
      <c r="G197" s="86">
        <f>I197</f>
        <v>49500</v>
      </c>
      <c r="H197" s="141">
        <v>0</v>
      </c>
      <c r="I197" s="86">
        <v>49500</v>
      </c>
      <c r="J197" s="30"/>
      <c r="K197" s="58">
        <v>2093</v>
      </c>
      <c r="L197" s="106">
        <v>49500</v>
      </c>
      <c r="M197" s="106">
        <f>I197-L197</f>
        <v>0</v>
      </c>
    </row>
    <row r="198" spans="1:52" s="142" customFormat="1" ht="31.5" x14ac:dyDescent="0.25">
      <c r="A198" s="270"/>
      <c r="B198" s="279"/>
      <c r="C198" s="270"/>
      <c r="D198" s="337"/>
      <c r="E198" s="33" t="s">
        <v>253</v>
      </c>
      <c r="F198" s="30">
        <v>2021</v>
      </c>
      <c r="G198" s="86">
        <v>193170</v>
      </c>
      <c r="H198" s="141">
        <v>0</v>
      </c>
      <c r="I198" s="86">
        <v>193170</v>
      </c>
      <c r="J198" s="30"/>
      <c r="K198" s="58">
        <v>2144</v>
      </c>
      <c r="L198" s="62">
        <v>193170</v>
      </c>
      <c r="M198" s="106">
        <f>I198-L198</f>
        <v>0</v>
      </c>
    </row>
    <row r="199" spans="1:52" s="142" customFormat="1" ht="31.5" x14ac:dyDescent="0.25">
      <c r="A199" s="270"/>
      <c r="B199" s="279"/>
      <c r="C199" s="270"/>
      <c r="D199" s="337"/>
      <c r="E199" s="33" t="s">
        <v>276</v>
      </c>
      <c r="F199" s="30">
        <v>2021</v>
      </c>
      <c r="G199" s="86">
        <v>53038930</v>
      </c>
      <c r="H199" s="141">
        <v>0</v>
      </c>
      <c r="I199" s="86">
        <v>17000000</v>
      </c>
      <c r="J199" s="30"/>
      <c r="K199" s="58">
        <v>2170</v>
      </c>
      <c r="L199" s="62">
        <f>5100000+3162756.48+2317748.63+48837.84</f>
        <v>10629342.949999999</v>
      </c>
      <c r="M199" s="106">
        <f>I199-L199</f>
        <v>6370657.0500000007</v>
      </c>
    </row>
    <row r="200" spans="1:52" s="142" customFormat="1" ht="31.5" x14ac:dyDescent="0.25">
      <c r="A200" s="270"/>
      <c r="B200" s="279"/>
      <c r="C200" s="270"/>
      <c r="D200" s="337"/>
      <c r="E200" s="33" t="s">
        <v>333</v>
      </c>
      <c r="F200" s="221">
        <v>2021</v>
      </c>
      <c r="G200" s="86">
        <v>2925293</v>
      </c>
      <c r="H200" s="141">
        <v>0</v>
      </c>
      <c r="I200" s="86">
        <f>G200</f>
        <v>2925293</v>
      </c>
      <c r="J200" s="221"/>
      <c r="K200" s="58">
        <v>2205</v>
      </c>
      <c r="L200" s="62">
        <v>16000</v>
      </c>
      <c r="M200" s="106">
        <f>I200-L200</f>
        <v>2909293</v>
      </c>
    </row>
    <row r="201" spans="1:52" s="142" customFormat="1" ht="31.5" x14ac:dyDescent="0.25">
      <c r="A201" s="271"/>
      <c r="B201" s="280"/>
      <c r="C201" s="271"/>
      <c r="D201" s="338"/>
      <c r="E201" s="33" t="s">
        <v>365</v>
      </c>
      <c r="F201" s="268">
        <v>2021</v>
      </c>
      <c r="G201" s="86">
        <v>49500</v>
      </c>
      <c r="H201" s="141">
        <v>0</v>
      </c>
      <c r="I201" s="86">
        <v>49500</v>
      </c>
      <c r="J201" s="268"/>
      <c r="K201" s="58">
        <v>2222</v>
      </c>
      <c r="L201" s="62"/>
      <c r="M201" s="106"/>
    </row>
    <row r="202" spans="1:52" s="122" customFormat="1" ht="18.75" customHeight="1" x14ac:dyDescent="0.2">
      <c r="D202" s="313" t="s">
        <v>141</v>
      </c>
      <c r="E202" s="301"/>
      <c r="F202" s="300"/>
      <c r="G202" s="300"/>
      <c r="H202" s="300"/>
      <c r="I202" s="300"/>
      <c r="J202" s="314"/>
      <c r="K202" s="121"/>
      <c r="L202" s="121"/>
      <c r="M202" s="121"/>
      <c r="N202" s="121"/>
      <c r="O202" s="121"/>
      <c r="P202" s="121"/>
      <c r="Q202" s="121"/>
      <c r="R202" s="121"/>
      <c r="S202" s="121"/>
      <c r="T202" s="121"/>
      <c r="U202" s="121"/>
      <c r="V202" s="121"/>
      <c r="W202" s="121"/>
      <c r="X202" s="121"/>
      <c r="Y202" s="121"/>
      <c r="Z202" s="121"/>
      <c r="AA202" s="121"/>
      <c r="AB202" s="121"/>
      <c r="AC202" s="121"/>
      <c r="AD202" s="121"/>
      <c r="AE202" s="121"/>
      <c r="AF202" s="121"/>
      <c r="AG202" s="121"/>
      <c r="AH202" s="121"/>
      <c r="AI202" s="121"/>
      <c r="AJ202" s="121"/>
      <c r="AK202" s="121"/>
      <c r="AL202" s="121"/>
      <c r="AM202" s="121"/>
      <c r="AN202" s="121"/>
      <c r="AO202" s="121"/>
      <c r="AP202" s="121"/>
      <c r="AQ202" s="121"/>
      <c r="AR202" s="121"/>
      <c r="AS202" s="121"/>
      <c r="AT202" s="121"/>
      <c r="AU202" s="121"/>
      <c r="AV202" s="121"/>
      <c r="AW202" s="121"/>
      <c r="AX202" s="121"/>
      <c r="AY202" s="121"/>
      <c r="AZ202" s="121"/>
    </row>
    <row r="203" spans="1:52" s="142" customFormat="1" ht="47.25" customHeight="1" x14ac:dyDescent="0.2">
      <c r="A203" s="315" t="s">
        <v>55</v>
      </c>
      <c r="B203" s="304">
        <v>7363</v>
      </c>
      <c r="C203" s="303" t="s">
        <v>5</v>
      </c>
      <c r="D203" s="275" t="s">
        <v>56</v>
      </c>
      <c r="E203" s="15" t="s">
        <v>341</v>
      </c>
      <c r="F203" s="226">
        <v>2021</v>
      </c>
      <c r="G203" s="86">
        <v>13633982</v>
      </c>
      <c r="H203" s="141">
        <v>0</v>
      </c>
      <c r="I203" s="86">
        <v>13633982</v>
      </c>
      <c r="J203" s="226"/>
      <c r="K203" s="58">
        <v>2210</v>
      </c>
      <c r="L203" s="106"/>
      <c r="M203" s="106">
        <f>I203-L203</f>
        <v>13633982</v>
      </c>
      <c r="N203" s="178">
        <f>G203-I203</f>
        <v>0</v>
      </c>
    </row>
    <row r="204" spans="1:52" s="142" customFormat="1" ht="18.75" x14ac:dyDescent="0.2">
      <c r="A204" s="315"/>
      <c r="B204" s="304"/>
      <c r="C204" s="303"/>
      <c r="D204" s="276"/>
      <c r="E204" s="15" t="s">
        <v>342</v>
      </c>
      <c r="F204" s="226">
        <v>2021</v>
      </c>
      <c r="G204" s="86">
        <v>2397350</v>
      </c>
      <c r="H204" s="141">
        <v>0</v>
      </c>
      <c r="I204" s="86">
        <v>2397350</v>
      </c>
      <c r="J204" s="226"/>
      <c r="K204" s="58">
        <v>2209</v>
      </c>
      <c r="L204" s="106"/>
      <c r="M204" s="106">
        <f t="shared" ref="M204:M205" si="22">I204-L204</f>
        <v>2397350</v>
      </c>
      <c r="N204" s="178"/>
    </row>
    <row r="205" spans="1:52" s="142" customFormat="1" ht="31.5" x14ac:dyDescent="0.2">
      <c r="A205" s="315"/>
      <c r="B205" s="304"/>
      <c r="C205" s="303"/>
      <c r="D205" s="277"/>
      <c r="E205" s="15" t="s">
        <v>343</v>
      </c>
      <c r="F205" s="226">
        <v>2021</v>
      </c>
      <c r="G205" s="86">
        <v>2834104</v>
      </c>
      <c r="H205" s="141">
        <v>0</v>
      </c>
      <c r="I205" s="86">
        <v>2834104</v>
      </c>
      <c r="J205" s="226"/>
      <c r="K205" s="58">
        <v>2211</v>
      </c>
      <c r="L205" s="106"/>
      <c r="M205" s="106">
        <f t="shared" si="22"/>
        <v>2834104</v>
      </c>
      <c r="N205" s="178"/>
    </row>
    <row r="206" spans="1:52" s="149" customFormat="1" ht="18.75" x14ac:dyDescent="0.2">
      <c r="A206" s="291"/>
      <c r="B206" s="292"/>
      <c r="C206" s="293"/>
      <c r="D206" s="39" t="s">
        <v>76</v>
      </c>
      <c r="E206" s="146"/>
      <c r="F206" s="43" t="s">
        <v>7</v>
      </c>
      <c r="G206" s="82" t="s">
        <v>7</v>
      </c>
      <c r="H206" s="82" t="s">
        <v>7</v>
      </c>
      <c r="I206" s="82">
        <f>SUM(I207:I217)</f>
        <v>21451051</v>
      </c>
      <c r="J206" s="43" t="s">
        <v>7</v>
      </c>
      <c r="K206" s="327"/>
      <c r="L206" s="328"/>
      <c r="M206" s="329"/>
      <c r="N206" s="148"/>
      <c r="O206" s="148"/>
      <c r="P206" s="148"/>
      <c r="Q206" s="148"/>
      <c r="R206" s="148"/>
      <c r="S206" s="148"/>
      <c r="T206" s="148"/>
      <c r="U206" s="148"/>
      <c r="V206" s="148"/>
      <c r="W206" s="148"/>
      <c r="X206" s="148"/>
      <c r="Y206" s="148"/>
      <c r="Z206" s="148"/>
      <c r="AA206" s="148"/>
      <c r="AB206" s="148"/>
      <c r="AC206" s="148"/>
      <c r="AD206" s="148"/>
      <c r="AE206" s="148"/>
      <c r="AF206" s="148"/>
      <c r="AG206" s="148"/>
      <c r="AH206" s="148"/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</row>
    <row r="207" spans="1:52" s="142" customFormat="1" ht="18.75" x14ac:dyDescent="0.25">
      <c r="A207" s="303" t="s">
        <v>11</v>
      </c>
      <c r="B207" s="308">
        <v>6030</v>
      </c>
      <c r="C207" s="309" t="s">
        <v>18</v>
      </c>
      <c r="D207" s="310" t="s">
        <v>19</v>
      </c>
      <c r="E207" s="97" t="s">
        <v>90</v>
      </c>
      <c r="F207" s="268">
        <v>2021</v>
      </c>
      <c r="G207" s="86">
        <v>0</v>
      </c>
      <c r="H207" s="141">
        <v>0</v>
      </c>
      <c r="I207" s="86">
        <f>3466000+1700000+890000+224000+91640+3550000+102000+33000+75000</f>
        <v>10131640</v>
      </c>
      <c r="J207" s="268"/>
      <c r="K207" s="58">
        <v>2052</v>
      </c>
      <c r="L207" s="62">
        <f>185130+167328+11352+3257070+933730+1698000+90230+2520000</f>
        <v>8862840</v>
      </c>
      <c r="M207" s="106">
        <f t="shared" ref="M207:M215" si="23">I207-L207</f>
        <v>1268800</v>
      </c>
      <c r="N207" s="142" t="s">
        <v>210</v>
      </c>
    </row>
    <row r="208" spans="1:52" s="142" customFormat="1" ht="31.5" x14ac:dyDescent="0.25">
      <c r="A208" s="303"/>
      <c r="B208" s="308"/>
      <c r="C208" s="309"/>
      <c r="D208" s="310"/>
      <c r="E208" s="97" t="s">
        <v>225</v>
      </c>
      <c r="F208" s="268">
        <v>2021</v>
      </c>
      <c r="G208" s="86">
        <f>I208</f>
        <v>1304658.2</v>
      </c>
      <c r="H208" s="141">
        <v>0</v>
      </c>
      <c r="I208" s="86">
        <f>15001+1449552-159894.8</f>
        <v>1304658.2</v>
      </c>
      <c r="J208" s="268"/>
      <c r="K208" s="58">
        <v>2128</v>
      </c>
      <c r="L208" s="106">
        <f>15000+1250000+19657.2</f>
        <v>1284657.2</v>
      </c>
      <c r="M208" s="106">
        <f t="shared" si="23"/>
        <v>20001</v>
      </c>
    </row>
    <row r="209" spans="1:52" s="142" customFormat="1" ht="18.75" x14ac:dyDescent="0.25">
      <c r="A209" s="303"/>
      <c r="B209" s="308"/>
      <c r="C209" s="309"/>
      <c r="D209" s="310"/>
      <c r="E209" s="6" t="s">
        <v>228</v>
      </c>
      <c r="F209" s="268">
        <v>2021</v>
      </c>
      <c r="G209" s="86">
        <f>I209</f>
        <v>1277791.8</v>
      </c>
      <c r="H209" s="141">
        <v>0</v>
      </c>
      <c r="I209" s="86">
        <f>1437340-84000-10248.2-65300</f>
        <v>1277791.8</v>
      </c>
      <c r="J209" s="268"/>
      <c r="K209" s="58">
        <v>2145</v>
      </c>
      <c r="L209" s="62">
        <f>48967+1228824.8</f>
        <v>1277791.8</v>
      </c>
      <c r="M209" s="106">
        <f t="shared" si="23"/>
        <v>0</v>
      </c>
    </row>
    <row r="210" spans="1:52" s="142" customFormat="1" ht="18.75" x14ac:dyDescent="0.25">
      <c r="A210" s="303"/>
      <c r="B210" s="308"/>
      <c r="C210" s="309"/>
      <c r="D210" s="310"/>
      <c r="E210" s="97" t="s">
        <v>229</v>
      </c>
      <c r="F210" s="268">
        <v>2021</v>
      </c>
      <c r="G210" s="86">
        <v>1486243</v>
      </c>
      <c r="H210" s="141">
        <v>0</v>
      </c>
      <c r="I210" s="86">
        <f>1371210+84000</f>
        <v>1455210</v>
      </c>
      <c r="J210" s="268"/>
      <c r="K210" s="58">
        <v>2146</v>
      </c>
      <c r="L210" s="106">
        <f>1369691.2+81463.25</f>
        <v>1451154.45</v>
      </c>
      <c r="M210" s="106">
        <f t="shared" si="23"/>
        <v>4055.5500000000466</v>
      </c>
    </row>
    <row r="211" spans="1:52" s="14" customFormat="1" ht="31.5" x14ac:dyDescent="0.25">
      <c r="A211" s="303"/>
      <c r="B211" s="308"/>
      <c r="C211" s="309"/>
      <c r="D211" s="310"/>
      <c r="E211" s="97" t="s">
        <v>266</v>
      </c>
      <c r="F211" s="268">
        <v>2021</v>
      </c>
      <c r="G211" s="31">
        <v>1566250</v>
      </c>
      <c r="H211" s="92">
        <v>0</v>
      </c>
      <c r="I211" s="31">
        <f>G211-26900-278000</f>
        <v>1261350</v>
      </c>
      <c r="J211" s="32"/>
      <c r="K211" s="57">
        <v>2161</v>
      </c>
      <c r="L211" s="62">
        <f>30405+1117148.31</f>
        <v>1147553.31</v>
      </c>
      <c r="M211" s="106">
        <f t="shared" si="23"/>
        <v>113796.68999999994</v>
      </c>
    </row>
    <row r="212" spans="1:52" s="14" customFormat="1" ht="31.5" x14ac:dyDescent="0.25">
      <c r="A212" s="303"/>
      <c r="B212" s="308"/>
      <c r="C212" s="309"/>
      <c r="D212" s="310"/>
      <c r="E212" s="97" t="s">
        <v>267</v>
      </c>
      <c r="F212" s="268">
        <v>2021</v>
      </c>
      <c r="G212" s="31">
        <v>396175</v>
      </c>
      <c r="H212" s="92">
        <v>0</v>
      </c>
      <c r="I212" s="31">
        <f t="shared" ref="I212" si="24">G212</f>
        <v>396175</v>
      </c>
      <c r="J212" s="32"/>
      <c r="K212" s="57">
        <v>2162</v>
      </c>
      <c r="L212" s="106">
        <f>339255.37+4705.43+34722</f>
        <v>378682.8</v>
      </c>
      <c r="M212" s="106">
        <f t="shared" si="23"/>
        <v>17492.200000000012</v>
      </c>
    </row>
    <row r="213" spans="1:52" s="14" customFormat="1" ht="31.5" x14ac:dyDescent="0.25">
      <c r="A213" s="303"/>
      <c r="B213" s="308"/>
      <c r="C213" s="309"/>
      <c r="D213" s="310"/>
      <c r="E213" s="97" t="s">
        <v>268</v>
      </c>
      <c r="F213" s="268">
        <v>2021</v>
      </c>
      <c r="G213" s="31">
        <v>929194</v>
      </c>
      <c r="H213" s="92">
        <v>0</v>
      </c>
      <c r="I213" s="31">
        <f>G213-9800</f>
        <v>919394</v>
      </c>
      <c r="J213" s="32"/>
      <c r="K213" s="57">
        <v>2163</v>
      </c>
      <c r="L213" s="62">
        <f>23887+890491.21</f>
        <v>914378.21</v>
      </c>
      <c r="M213" s="106">
        <f t="shared" si="23"/>
        <v>5015.7900000000373</v>
      </c>
    </row>
    <row r="214" spans="1:52" s="14" customFormat="1" ht="31.5" x14ac:dyDescent="0.25">
      <c r="A214" s="303"/>
      <c r="B214" s="308"/>
      <c r="C214" s="309"/>
      <c r="D214" s="310"/>
      <c r="E214" s="97" t="s">
        <v>269</v>
      </c>
      <c r="F214" s="268">
        <v>2021</v>
      </c>
      <c r="G214" s="31">
        <f>768040+170143</f>
        <v>938183</v>
      </c>
      <c r="H214" s="92">
        <v>0</v>
      </c>
      <c r="I214" s="31">
        <f>G214</f>
        <v>938183</v>
      </c>
      <c r="J214" s="32"/>
      <c r="K214" s="57">
        <v>2164</v>
      </c>
      <c r="L214" s="62">
        <f>47496+879446</f>
        <v>926942</v>
      </c>
      <c r="M214" s="106">
        <f t="shared" si="23"/>
        <v>11241</v>
      </c>
    </row>
    <row r="215" spans="1:52" s="14" customFormat="1" ht="18.75" x14ac:dyDescent="0.25">
      <c r="A215" s="303"/>
      <c r="B215" s="308"/>
      <c r="C215" s="309"/>
      <c r="D215" s="310"/>
      <c r="E215" s="103" t="s">
        <v>328</v>
      </c>
      <c r="F215" s="268">
        <v>2021</v>
      </c>
      <c r="G215" s="31">
        <f>I215</f>
        <v>266649</v>
      </c>
      <c r="H215" s="92">
        <v>0</v>
      </c>
      <c r="I215" s="31">
        <v>266649</v>
      </c>
      <c r="J215" s="126"/>
      <c r="K215" s="57">
        <v>2199</v>
      </c>
      <c r="L215" s="62"/>
      <c r="M215" s="106">
        <f t="shared" si="23"/>
        <v>266649</v>
      </c>
    </row>
    <row r="216" spans="1:52" s="122" customFormat="1" ht="18.75" customHeight="1" x14ac:dyDescent="0.2">
      <c r="A216" s="121"/>
      <c r="B216" s="121"/>
      <c r="C216" s="121"/>
      <c r="D216" s="300" t="s">
        <v>141</v>
      </c>
      <c r="E216" s="301"/>
      <c r="F216" s="301"/>
      <c r="G216" s="301"/>
      <c r="H216" s="301"/>
      <c r="I216" s="301"/>
      <c r="J216" s="302"/>
      <c r="K216" s="121"/>
      <c r="L216" s="121"/>
      <c r="M216" s="121"/>
      <c r="N216" s="121"/>
      <c r="O216" s="121"/>
      <c r="P216" s="121"/>
      <c r="Q216" s="121"/>
      <c r="R216" s="121"/>
      <c r="S216" s="121"/>
      <c r="T216" s="121"/>
      <c r="U216" s="121"/>
      <c r="V216" s="121"/>
      <c r="W216" s="121"/>
      <c r="X216" s="121"/>
      <c r="Y216" s="121"/>
      <c r="Z216" s="121"/>
      <c r="AA216" s="121"/>
      <c r="AB216" s="121"/>
      <c r="AC216" s="121"/>
      <c r="AD216" s="121"/>
      <c r="AE216" s="121"/>
      <c r="AF216" s="121"/>
      <c r="AG216" s="121"/>
      <c r="AH216" s="121"/>
      <c r="AI216" s="121"/>
      <c r="AJ216" s="121"/>
      <c r="AK216" s="121"/>
      <c r="AL216" s="121"/>
      <c r="AM216" s="121"/>
      <c r="AN216" s="121"/>
      <c r="AO216" s="121"/>
      <c r="AP216" s="121"/>
      <c r="AQ216" s="121"/>
      <c r="AR216" s="121"/>
      <c r="AS216" s="121"/>
      <c r="AT216" s="121"/>
      <c r="AU216" s="121"/>
      <c r="AV216" s="121"/>
      <c r="AW216" s="121"/>
      <c r="AX216" s="121"/>
      <c r="AY216" s="121"/>
      <c r="AZ216" s="121"/>
    </row>
    <row r="217" spans="1:52" s="142" customFormat="1" ht="47.25" x14ac:dyDescent="0.2">
      <c r="A217" s="130" t="s">
        <v>55</v>
      </c>
      <c r="B217" s="183" t="s">
        <v>291</v>
      </c>
      <c r="C217" s="185" t="s">
        <v>5</v>
      </c>
      <c r="D217" s="186" t="s">
        <v>56</v>
      </c>
      <c r="E217" s="15" t="s">
        <v>264</v>
      </c>
      <c r="F217" s="30">
        <v>2021</v>
      </c>
      <c r="G217" s="86">
        <v>8953609</v>
      </c>
      <c r="H217" s="141">
        <v>0</v>
      </c>
      <c r="I217" s="86">
        <v>3500000</v>
      </c>
      <c r="J217" s="30"/>
      <c r="K217" s="58">
        <v>2024</v>
      </c>
      <c r="L217" s="106">
        <v>0</v>
      </c>
      <c r="M217" s="106">
        <f>I217-L217</f>
        <v>3500000</v>
      </c>
    </row>
    <row r="218" spans="1:52" s="5" customFormat="1" ht="18.75" x14ac:dyDescent="0.2">
      <c r="A218" s="288"/>
      <c r="B218" s="289"/>
      <c r="C218" s="290"/>
      <c r="D218" s="39" t="s">
        <v>115</v>
      </c>
      <c r="E218" s="40"/>
      <c r="F218" s="43" t="s">
        <v>7</v>
      </c>
      <c r="G218" s="83" t="s">
        <v>7</v>
      </c>
      <c r="H218" s="83" t="s">
        <v>7</v>
      </c>
      <c r="I218" s="83">
        <f>I219</f>
        <v>146700</v>
      </c>
      <c r="J218" s="89" t="s">
        <v>7</v>
      </c>
      <c r="K218" s="118"/>
      <c r="L218" s="119"/>
      <c r="M218" s="120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</row>
    <row r="219" spans="1:52" s="14" customFormat="1" ht="18.75" x14ac:dyDescent="0.25">
      <c r="A219" s="7" t="s">
        <v>114</v>
      </c>
      <c r="B219" s="59" t="s">
        <v>22</v>
      </c>
      <c r="C219" s="60" t="s">
        <v>117</v>
      </c>
      <c r="D219" s="61" t="s">
        <v>116</v>
      </c>
      <c r="E219" s="33" t="s">
        <v>90</v>
      </c>
      <c r="F219" s="30">
        <v>2021</v>
      </c>
      <c r="G219" s="31">
        <v>0</v>
      </c>
      <c r="H219" s="92">
        <v>0</v>
      </c>
      <c r="I219" s="31">
        <v>146700</v>
      </c>
      <c r="J219" s="32"/>
      <c r="K219" s="57">
        <v>2094</v>
      </c>
      <c r="L219" s="62">
        <f>129260+7197+8325</f>
        <v>144782</v>
      </c>
      <c r="M219" s="56">
        <f>I219-L219</f>
        <v>1918</v>
      </c>
      <c r="N219" s="14" t="s">
        <v>322</v>
      </c>
    </row>
    <row r="220" spans="1:52" s="5" customFormat="1" ht="18.75" x14ac:dyDescent="0.25">
      <c r="A220" s="80" t="s">
        <v>172</v>
      </c>
      <c r="B220" s="45"/>
      <c r="C220" s="34"/>
      <c r="D220" s="35" t="s">
        <v>72</v>
      </c>
      <c r="E220" s="36"/>
      <c r="F220" s="43" t="s">
        <v>7</v>
      </c>
      <c r="G220" s="83" t="s">
        <v>7</v>
      </c>
      <c r="H220" s="83" t="s">
        <v>7</v>
      </c>
      <c r="I220" s="83">
        <f>SUM(I221:I247)+I249+I251+I253+I254+I255+I256+I257+I258+I259+I261+I260+I250+I252</f>
        <v>70653491</v>
      </c>
      <c r="J220" s="89" t="s">
        <v>7</v>
      </c>
      <c r="K220" s="112"/>
      <c r="L220" s="113"/>
      <c r="M220" s="114"/>
    </row>
    <row r="221" spans="1:52" s="14" customFormat="1" ht="31.5" x14ac:dyDescent="0.25">
      <c r="A221" s="130" t="s">
        <v>274</v>
      </c>
      <c r="B221" s="131">
        <v>1021</v>
      </c>
      <c r="C221" s="130" t="s">
        <v>283</v>
      </c>
      <c r="D221" s="129" t="s">
        <v>275</v>
      </c>
      <c r="E221" s="97" t="s">
        <v>90</v>
      </c>
      <c r="F221" s="30">
        <v>2021</v>
      </c>
      <c r="G221" s="31">
        <v>0</v>
      </c>
      <c r="H221" s="92">
        <v>0</v>
      </c>
      <c r="I221" s="31">
        <v>151397</v>
      </c>
      <c r="J221" s="32"/>
      <c r="K221" s="57">
        <v>2160</v>
      </c>
      <c r="L221" s="107">
        <v>150900</v>
      </c>
      <c r="M221" s="56">
        <f t="shared" ref="M221:M247" si="25">I221-L221</f>
        <v>497</v>
      </c>
    </row>
    <row r="222" spans="1:52" s="14" customFormat="1" ht="37.5" customHeight="1" x14ac:dyDescent="0.25">
      <c r="A222" s="303" t="s">
        <v>23</v>
      </c>
      <c r="B222" s="304">
        <v>7321</v>
      </c>
      <c r="C222" s="303" t="s">
        <v>24</v>
      </c>
      <c r="D222" s="304" t="s">
        <v>47</v>
      </c>
      <c r="E222" s="97" t="s">
        <v>194</v>
      </c>
      <c r="F222" s="30">
        <v>2021</v>
      </c>
      <c r="G222" s="31">
        <f>I222</f>
        <v>329527</v>
      </c>
      <c r="H222" s="92">
        <v>0</v>
      </c>
      <c r="I222" s="31">
        <f>49900+279627</f>
        <v>329527</v>
      </c>
      <c r="J222" s="126"/>
      <c r="K222" s="57">
        <v>2028</v>
      </c>
      <c r="L222" s="107">
        <v>329527</v>
      </c>
      <c r="M222" s="56">
        <f t="shared" si="25"/>
        <v>0</v>
      </c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 s="14" customFormat="1" ht="63.75" customHeight="1" x14ac:dyDescent="0.25">
      <c r="A223" s="303"/>
      <c r="B223" s="304"/>
      <c r="C223" s="303"/>
      <c r="D223" s="304"/>
      <c r="E223" s="97" t="s">
        <v>230</v>
      </c>
      <c r="F223" s="30">
        <v>2021</v>
      </c>
      <c r="G223" s="31">
        <f t="shared" ref="G223:G230" si="26">I223</f>
        <v>49500</v>
      </c>
      <c r="H223" s="92">
        <v>0</v>
      </c>
      <c r="I223" s="31">
        <v>49500</v>
      </c>
      <c r="J223" s="126"/>
      <c r="K223" s="57">
        <v>2095</v>
      </c>
      <c r="L223" s="107">
        <v>49500</v>
      </c>
      <c r="M223" s="56">
        <f t="shared" si="25"/>
        <v>0</v>
      </c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 s="142" customFormat="1" ht="59.25" customHeight="1" x14ac:dyDescent="0.25">
      <c r="A224" s="303"/>
      <c r="B224" s="304"/>
      <c r="C224" s="303"/>
      <c r="D224" s="304"/>
      <c r="E224" s="97" t="s">
        <v>250</v>
      </c>
      <c r="F224" s="30">
        <v>2021</v>
      </c>
      <c r="G224" s="86">
        <v>9513572</v>
      </c>
      <c r="H224" s="141">
        <v>0</v>
      </c>
      <c r="I224" s="86">
        <v>4541047</v>
      </c>
      <c r="J224" s="144"/>
      <c r="K224" s="58">
        <v>2151</v>
      </c>
      <c r="L224" s="63">
        <f>599030.76+911757.12+185712.62</f>
        <v>1696500.5</v>
      </c>
      <c r="M224" s="106">
        <f t="shared" si="25"/>
        <v>2844546.5</v>
      </c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 s="71" customFormat="1" ht="47.25" x14ac:dyDescent="0.25">
      <c r="A225" s="303"/>
      <c r="B225" s="304"/>
      <c r="C225" s="303"/>
      <c r="D225" s="304"/>
      <c r="E225" s="97" t="s">
        <v>157</v>
      </c>
      <c r="F225" s="30">
        <v>2021</v>
      </c>
      <c r="G225" s="31">
        <f t="shared" si="26"/>
        <v>48500</v>
      </c>
      <c r="H225" s="92">
        <v>0</v>
      </c>
      <c r="I225" s="31">
        <v>48500</v>
      </c>
      <c r="J225" s="126"/>
      <c r="K225" s="99">
        <v>2107</v>
      </c>
      <c r="L225" s="109">
        <v>48500</v>
      </c>
      <c r="M225" s="100">
        <f t="shared" si="25"/>
        <v>0</v>
      </c>
      <c r="N225" s="72"/>
      <c r="O225" s="72"/>
      <c r="P225" s="72"/>
      <c r="Q225" s="72"/>
      <c r="R225" s="72"/>
      <c r="S225" s="72"/>
      <c r="T225" s="72"/>
      <c r="U225" s="72"/>
      <c r="V225" s="72"/>
      <c r="W225" s="72"/>
      <c r="X225" s="72"/>
      <c r="Y225" s="72"/>
      <c r="Z225" s="72"/>
      <c r="AA225" s="72"/>
      <c r="AB225" s="72"/>
      <c r="AC225" s="72"/>
      <c r="AD225" s="72"/>
      <c r="AE225" s="72"/>
      <c r="AF225" s="72"/>
      <c r="AG225" s="72"/>
      <c r="AH225" s="72"/>
      <c r="AI225" s="72"/>
      <c r="AJ225" s="72"/>
      <c r="AK225" s="72"/>
      <c r="AL225" s="72"/>
      <c r="AM225" s="72"/>
      <c r="AN225" s="72"/>
      <c r="AO225" s="72"/>
      <c r="AP225" s="72"/>
      <c r="AQ225" s="72"/>
      <c r="AR225" s="72"/>
      <c r="AS225" s="72"/>
      <c r="AT225" s="72"/>
      <c r="AU225" s="72"/>
      <c r="AV225" s="72"/>
      <c r="AW225" s="72"/>
      <c r="AX225" s="72"/>
      <c r="AY225" s="72"/>
      <c r="AZ225" s="72"/>
    </row>
    <row r="226" spans="1:52" s="14" customFormat="1" ht="39.75" customHeight="1" x14ac:dyDescent="0.25">
      <c r="A226" s="303"/>
      <c r="B226" s="304"/>
      <c r="C226" s="303"/>
      <c r="D226" s="304"/>
      <c r="E226" s="97" t="s">
        <v>287</v>
      </c>
      <c r="F226" s="30" t="s">
        <v>180</v>
      </c>
      <c r="G226" s="31">
        <v>67620674</v>
      </c>
      <c r="H226" s="92">
        <v>0</v>
      </c>
      <c r="I226" s="31">
        <v>172720</v>
      </c>
      <c r="J226" s="126"/>
      <c r="K226" s="57">
        <v>2003</v>
      </c>
      <c r="L226" s="107">
        <v>172719.18</v>
      </c>
      <c r="M226" s="56">
        <f t="shared" si="25"/>
        <v>0.82000000000698492</v>
      </c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 s="71" customFormat="1" ht="47.25" x14ac:dyDescent="0.25">
      <c r="A227" s="303"/>
      <c r="B227" s="304"/>
      <c r="C227" s="303"/>
      <c r="D227" s="304"/>
      <c r="E227" s="97" t="s">
        <v>286</v>
      </c>
      <c r="F227" s="30">
        <v>2021</v>
      </c>
      <c r="G227" s="31">
        <f t="shared" si="26"/>
        <v>49500</v>
      </c>
      <c r="H227" s="92">
        <v>0</v>
      </c>
      <c r="I227" s="31">
        <v>49500</v>
      </c>
      <c r="J227" s="126"/>
      <c r="K227" s="99">
        <v>2112</v>
      </c>
      <c r="L227" s="109">
        <v>49500</v>
      </c>
      <c r="M227" s="100">
        <f t="shared" si="25"/>
        <v>0</v>
      </c>
      <c r="N227" s="72"/>
      <c r="O227" s="72"/>
      <c r="P227" s="72"/>
      <c r="Q227" s="72"/>
      <c r="R227" s="72"/>
      <c r="S227" s="72"/>
      <c r="T227" s="72"/>
      <c r="U227" s="72"/>
      <c r="V227" s="72"/>
      <c r="W227" s="72"/>
      <c r="X227" s="72"/>
      <c r="Y227" s="72"/>
      <c r="Z227" s="72"/>
      <c r="AA227" s="72"/>
      <c r="AB227" s="72"/>
      <c r="AC227" s="72"/>
      <c r="AD227" s="72"/>
      <c r="AE227" s="72"/>
      <c r="AF227" s="72"/>
      <c r="AG227" s="72"/>
      <c r="AH227" s="72"/>
      <c r="AI227" s="72"/>
      <c r="AJ227" s="72"/>
      <c r="AK227" s="72"/>
      <c r="AL227" s="72"/>
      <c r="AM227" s="72"/>
      <c r="AN227" s="72"/>
      <c r="AO227" s="72"/>
      <c r="AP227" s="72"/>
      <c r="AQ227" s="72"/>
      <c r="AR227" s="72"/>
      <c r="AS227" s="72"/>
      <c r="AT227" s="72"/>
      <c r="AU227" s="72"/>
      <c r="AV227" s="72"/>
      <c r="AW227" s="72"/>
      <c r="AX227" s="72"/>
      <c r="AY227" s="72"/>
      <c r="AZ227" s="72"/>
    </row>
    <row r="228" spans="1:52" s="142" customFormat="1" ht="52.5" customHeight="1" x14ac:dyDescent="0.25">
      <c r="A228" s="303"/>
      <c r="B228" s="304"/>
      <c r="C228" s="303"/>
      <c r="D228" s="304"/>
      <c r="E228" s="97" t="s">
        <v>249</v>
      </c>
      <c r="F228" s="198">
        <v>2021</v>
      </c>
      <c r="G228" s="86">
        <v>13801319</v>
      </c>
      <c r="H228" s="141">
        <v>0</v>
      </c>
      <c r="I228" s="86">
        <v>1645427</v>
      </c>
      <c r="J228" s="144"/>
      <c r="K228" s="58">
        <v>2150</v>
      </c>
      <c r="L228" s="63">
        <f>23369.62+1621190.2+867.18</f>
        <v>1645427</v>
      </c>
      <c r="M228" s="106">
        <f t="shared" si="25"/>
        <v>0</v>
      </c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 s="14" customFormat="1" ht="42.75" customHeight="1" x14ac:dyDescent="0.25">
      <c r="A229" s="303"/>
      <c r="B229" s="304"/>
      <c r="C229" s="303"/>
      <c r="D229" s="304"/>
      <c r="E229" s="97" t="s">
        <v>285</v>
      </c>
      <c r="F229" s="30">
        <v>2021</v>
      </c>
      <c r="G229" s="31">
        <v>80066712</v>
      </c>
      <c r="H229" s="92">
        <v>0</v>
      </c>
      <c r="I229" s="31">
        <v>14711356</v>
      </c>
      <c r="J229" s="126"/>
      <c r="K229" s="57">
        <v>2148</v>
      </c>
      <c r="L229" s="107">
        <v>14711355.42</v>
      </c>
      <c r="M229" s="56">
        <f t="shared" si="25"/>
        <v>0.58000000007450581</v>
      </c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 s="71" customFormat="1" ht="57.75" customHeight="1" x14ac:dyDescent="0.25">
      <c r="A230" s="303"/>
      <c r="B230" s="304"/>
      <c r="C230" s="303"/>
      <c r="D230" s="304"/>
      <c r="E230" s="97" t="s">
        <v>156</v>
      </c>
      <c r="F230" s="30">
        <v>2021</v>
      </c>
      <c r="G230" s="31">
        <f t="shared" si="26"/>
        <v>889000</v>
      </c>
      <c r="H230" s="92">
        <v>0</v>
      </c>
      <c r="I230" s="31">
        <v>889000</v>
      </c>
      <c r="J230" s="126"/>
      <c r="K230" s="99">
        <v>2113</v>
      </c>
      <c r="L230" s="109">
        <v>889000</v>
      </c>
      <c r="M230" s="100">
        <f t="shared" si="25"/>
        <v>0</v>
      </c>
      <c r="N230" s="72"/>
      <c r="O230" s="72"/>
      <c r="P230" s="72"/>
      <c r="Q230" s="72"/>
      <c r="R230" s="72"/>
      <c r="S230" s="72"/>
      <c r="T230" s="72"/>
      <c r="U230" s="72"/>
      <c r="V230" s="72"/>
      <c r="W230" s="72"/>
      <c r="X230" s="72"/>
      <c r="Y230" s="72"/>
      <c r="Z230" s="72"/>
      <c r="AA230" s="72"/>
      <c r="AB230" s="72"/>
      <c r="AC230" s="72"/>
      <c r="AD230" s="72"/>
      <c r="AE230" s="72"/>
      <c r="AF230" s="72"/>
      <c r="AG230" s="72"/>
      <c r="AH230" s="72"/>
      <c r="AI230" s="72"/>
      <c r="AJ230" s="72"/>
      <c r="AK230" s="72"/>
      <c r="AL230" s="72"/>
      <c r="AM230" s="72"/>
      <c r="AN230" s="72"/>
      <c r="AO230" s="72"/>
      <c r="AP230" s="72"/>
      <c r="AQ230" s="72"/>
      <c r="AR230" s="72"/>
      <c r="AS230" s="72"/>
      <c r="AT230" s="72"/>
      <c r="AU230" s="72"/>
      <c r="AV230" s="72"/>
      <c r="AW230" s="72"/>
      <c r="AX230" s="72"/>
      <c r="AY230" s="72"/>
      <c r="AZ230" s="72"/>
    </row>
    <row r="231" spans="1:52" s="14" customFormat="1" ht="56.25" customHeight="1" x14ac:dyDescent="0.25">
      <c r="A231" s="303"/>
      <c r="B231" s="304"/>
      <c r="C231" s="303"/>
      <c r="D231" s="304"/>
      <c r="E231" s="97" t="s">
        <v>199</v>
      </c>
      <c r="F231" s="30">
        <v>2021</v>
      </c>
      <c r="G231" s="31">
        <v>49667</v>
      </c>
      <c r="H231" s="92">
        <v>0</v>
      </c>
      <c r="I231" s="31">
        <v>49667</v>
      </c>
      <c r="J231" s="126"/>
      <c r="K231" s="57">
        <v>2117</v>
      </c>
      <c r="L231" s="107">
        <v>49666.98</v>
      </c>
      <c r="M231" s="56">
        <f t="shared" si="25"/>
        <v>1.9999999996798579E-2</v>
      </c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 s="14" customFormat="1" ht="58.5" customHeight="1" x14ac:dyDescent="0.25">
      <c r="A232" s="303"/>
      <c r="B232" s="304"/>
      <c r="C232" s="303"/>
      <c r="D232" s="304"/>
      <c r="E232" s="97" t="s">
        <v>195</v>
      </c>
      <c r="F232" s="30">
        <v>2021</v>
      </c>
      <c r="G232" s="31">
        <f t="shared" ref="G232" si="27">I232</f>
        <v>49500</v>
      </c>
      <c r="H232" s="92">
        <v>0</v>
      </c>
      <c r="I232" s="31">
        <v>49500</v>
      </c>
      <c r="J232" s="126"/>
      <c r="K232" s="57">
        <v>2096</v>
      </c>
      <c r="L232" s="107">
        <v>49500</v>
      </c>
      <c r="M232" s="56">
        <f t="shared" si="25"/>
        <v>0</v>
      </c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 s="142" customFormat="1" ht="49.5" customHeight="1" x14ac:dyDescent="0.25">
      <c r="A233" s="303"/>
      <c r="B233" s="304"/>
      <c r="C233" s="303"/>
      <c r="D233" s="304"/>
      <c r="E233" s="97" t="s">
        <v>248</v>
      </c>
      <c r="F233" s="30">
        <v>2021</v>
      </c>
      <c r="G233" s="86">
        <v>7273000</v>
      </c>
      <c r="H233" s="141">
        <v>0</v>
      </c>
      <c r="I233" s="86">
        <v>7273000</v>
      </c>
      <c r="J233" s="144"/>
      <c r="K233" s="58">
        <v>2149</v>
      </c>
      <c r="L233" s="107">
        <f>2181900+1203432.22+3887667.78</f>
        <v>7273000</v>
      </c>
      <c r="M233" s="106">
        <f t="shared" si="25"/>
        <v>0</v>
      </c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 s="14" customFormat="1" ht="61.5" customHeight="1" x14ac:dyDescent="0.25">
      <c r="A234" s="303"/>
      <c r="B234" s="304"/>
      <c r="C234" s="303"/>
      <c r="D234" s="304"/>
      <c r="E234" s="97" t="s">
        <v>278</v>
      </c>
      <c r="F234" s="30">
        <v>2021</v>
      </c>
      <c r="G234" s="31">
        <v>106540</v>
      </c>
      <c r="H234" s="92">
        <v>0</v>
      </c>
      <c r="I234" s="31">
        <f>G234</f>
        <v>106540</v>
      </c>
      <c r="J234" s="126"/>
      <c r="K234" s="57">
        <v>2177</v>
      </c>
      <c r="L234" s="63">
        <v>105539.29</v>
      </c>
      <c r="M234" s="56">
        <f t="shared" si="25"/>
        <v>1000.7100000000064</v>
      </c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 s="14" customFormat="1" ht="62.25" customHeight="1" x14ac:dyDescent="0.25">
      <c r="A235" s="303"/>
      <c r="B235" s="304"/>
      <c r="C235" s="303"/>
      <c r="D235" s="304"/>
      <c r="E235" s="97" t="s">
        <v>279</v>
      </c>
      <c r="F235" s="30">
        <v>2021</v>
      </c>
      <c r="G235" s="31">
        <v>30780</v>
      </c>
      <c r="H235" s="92">
        <v>0</v>
      </c>
      <c r="I235" s="31">
        <f>G235</f>
        <v>30780</v>
      </c>
      <c r="J235" s="126"/>
      <c r="K235" s="57">
        <v>2178</v>
      </c>
      <c r="L235" s="63">
        <v>30780</v>
      </c>
      <c r="M235" s="56">
        <f t="shared" si="25"/>
        <v>0</v>
      </c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 s="142" customFormat="1" ht="31.5" x14ac:dyDescent="0.25">
      <c r="A236" s="303"/>
      <c r="B236" s="304"/>
      <c r="C236" s="303"/>
      <c r="D236" s="304"/>
      <c r="E236" s="33" t="s">
        <v>191</v>
      </c>
      <c r="F236" s="231" t="s">
        <v>180</v>
      </c>
      <c r="G236" s="86">
        <v>158216750</v>
      </c>
      <c r="H236" s="91">
        <v>0</v>
      </c>
      <c r="I236" s="86">
        <v>224427</v>
      </c>
      <c r="J236" s="231"/>
      <c r="K236" s="58">
        <v>2017</v>
      </c>
      <c r="L236" s="62">
        <f>3166666.67+16237.69+591828.1+2989.69+1749005.46+8945.73</f>
        <v>5535673.3399999999</v>
      </c>
      <c r="M236" s="106">
        <f t="shared" si="25"/>
        <v>-5311246.34</v>
      </c>
    </row>
    <row r="237" spans="1:52" s="14" customFormat="1" ht="47.25" x14ac:dyDescent="0.25">
      <c r="A237" s="303"/>
      <c r="B237" s="304"/>
      <c r="C237" s="303"/>
      <c r="D237" s="304"/>
      <c r="E237" s="97" t="s">
        <v>207</v>
      </c>
      <c r="F237" s="30">
        <v>2021</v>
      </c>
      <c r="G237" s="31">
        <v>35801</v>
      </c>
      <c r="H237" s="92">
        <v>0</v>
      </c>
      <c r="I237" s="31">
        <v>35801</v>
      </c>
      <c r="J237" s="126"/>
      <c r="K237" s="57">
        <v>2116</v>
      </c>
      <c r="L237" s="107">
        <v>35800.75</v>
      </c>
      <c r="M237" s="56">
        <f t="shared" si="25"/>
        <v>0.25</v>
      </c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 s="142" customFormat="1" ht="40.5" customHeight="1" x14ac:dyDescent="0.25">
      <c r="A238" s="303"/>
      <c r="B238" s="304"/>
      <c r="C238" s="303"/>
      <c r="D238" s="304"/>
      <c r="E238" s="97" t="s">
        <v>258</v>
      </c>
      <c r="F238" s="30">
        <v>2021</v>
      </c>
      <c r="G238" s="86">
        <v>1218117</v>
      </c>
      <c r="H238" s="141">
        <v>0</v>
      </c>
      <c r="I238" s="86">
        <f>G238</f>
        <v>1218117</v>
      </c>
      <c r="J238" s="144"/>
      <c r="K238" s="58">
        <v>2154</v>
      </c>
      <c r="L238" s="63">
        <f>365341.55+852463.77</f>
        <v>1217805.32</v>
      </c>
      <c r="M238" s="106">
        <f t="shared" si="25"/>
        <v>311.67999999993481</v>
      </c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 s="142" customFormat="1" ht="31.5" x14ac:dyDescent="0.25">
      <c r="A239" s="303"/>
      <c r="B239" s="304"/>
      <c r="C239" s="303"/>
      <c r="D239" s="304"/>
      <c r="E239" s="97" t="s">
        <v>260</v>
      </c>
      <c r="F239" s="30">
        <v>2021</v>
      </c>
      <c r="G239" s="86">
        <f>I239</f>
        <v>299000</v>
      </c>
      <c r="H239" s="141">
        <v>0</v>
      </c>
      <c r="I239" s="86">
        <v>299000</v>
      </c>
      <c r="J239" s="144"/>
      <c r="K239" s="58">
        <v>2155</v>
      </c>
      <c r="L239" s="63">
        <f>89673.94+209239.52</f>
        <v>298913.45999999996</v>
      </c>
      <c r="M239" s="106">
        <f t="shared" si="25"/>
        <v>86.540000000037253</v>
      </c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 s="14" customFormat="1" ht="36.75" customHeight="1" x14ac:dyDescent="0.25">
      <c r="A240" s="303"/>
      <c r="B240" s="304"/>
      <c r="C240" s="303"/>
      <c r="D240" s="304"/>
      <c r="E240" s="97" t="s">
        <v>261</v>
      </c>
      <c r="F240" s="30">
        <v>2021</v>
      </c>
      <c r="G240" s="31">
        <f>I240</f>
        <v>293780</v>
      </c>
      <c r="H240" s="92">
        <v>0</v>
      </c>
      <c r="I240" s="31">
        <v>293780</v>
      </c>
      <c r="J240" s="126"/>
      <c r="K240" s="57">
        <v>2156</v>
      </c>
      <c r="L240" s="63">
        <f>88113.62+205598.99</f>
        <v>293712.61</v>
      </c>
      <c r="M240" s="56">
        <f t="shared" si="25"/>
        <v>67.39000000001397</v>
      </c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 s="71" customFormat="1" ht="32.25" customHeight="1" x14ac:dyDescent="0.25">
      <c r="A241" s="303"/>
      <c r="B241" s="304"/>
      <c r="C241" s="303"/>
      <c r="D241" s="304"/>
      <c r="E241" s="97" t="s">
        <v>284</v>
      </c>
      <c r="F241" s="30">
        <v>2021</v>
      </c>
      <c r="G241" s="31">
        <f t="shared" ref="G241" si="28">I241</f>
        <v>44500</v>
      </c>
      <c r="H241" s="92">
        <v>0</v>
      </c>
      <c r="I241" s="31">
        <v>44500</v>
      </c>
      <c r="J241" s="126"/>
      <c r="K241" s="99">
        <v>2106</v>
      </c>
      <c r="L241" s="109">
        <v>44500</v>
      </c>
      <c r="M241" s="100">
        <f t="shared" si="25"/>
        <v>0</v>
      </c>
      <c r="N241" s="72"/>
      <c r="O241" s="72"/>
      <c r="P241" s="72"/>
      <c r="Q241" s="72"/>
      <c r="R241" s="72"/>
      <c r="S241" s="72"/>
      <c r="T241" s="72"/>
      <c r="U241" s="72"/>
      <c r="V241" s="72"/>
      <c r="W241" s="72"/>
      <c r="X241" s="72"/>
      <c r="Y241" s="72"/>
      <c r="Z241" s="72"/>
      <c r="AA241" s="72"/>
      <c r="AB241" s="72"/>
      <c r="AC241" s="72"/>
      <c r="AD241" s="72"/>
      <c r="AE241" s="72"/>
      <c r="AF241" s="72"/>
      <c r="AG241" s="72"/>
      <c r="AH241" s="72"/>
      <c r="AI241" s="72"/>
      <c r="AJ241" s="72"/>
      <c r="AK241" s="72"/>
      <c r="AL241" s="72"/>
      <c r="AM241" s="72"/>
      <c r="AN241" s="72"/>
      <c r="AO241" s="72"/>
      <c r="AP241" s="72"/>
      <c r="AQ241" s="72"/>
      <c r="AR241" s="72"/>
      <c r="AS241" s="72"/>
      <c r="AT241" s="72"/>
      <c r="AU241" s="72"/>
      <c r="AV241" s="72"/>
      <c r="AW241" s="72"/>
      <c r="AX241" s="72"/>
      <c r="AY241" s="72"/>
      <c r="AZ241" s="72"/>
    </row>
    <row r="242" spans="1:52" s="14" customFormat="1" ht="26.25" customHeight="1" x14ac:dyDescent="0.25">
      <c r="A242" s="303"/>
      <c r="B242" s="304"/>
      <c r="C242" s="303"/>
      <c r="D242" s="304"/>
      <c r="E242" s="97" t="s">
        <v>262</v>
      </c>
      <c r="F242" s="30">
        <v>2021</v>
      </c>
      <c r="G242" s="31">
        <f>I242</f>
        <v>289220</v>
      </c>
      <c r="H242" s="92">
        <v>0</v>
      </c>
      <c r="I242" s="31">
        <v>289220</v>
      </c>
      <c r="J242" s="126"/>
      <c r="K242" s="57">
        <v>2157</v>
      </c>
      <c r="L242" s="63">
        <v>202251.6</v>
      </c>
      <c r="M242" s="56">
        <f t="shared" si="25"/>
        <v>86968.4</v>
      </c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 s="14" customFormat="1" ht="37.5" customHeight="1" x14ac:dyDescent="0.25">
      <c r="A243" s="303"/>
      <c r="B243" s="304"/>
      <c r="C243" s="303"/>
      <c r="D243" s="304"/>
      <c r="E243" s="97" t="s">
        <v>277</v>
      </c>
      <c r="F243" s="30">
        <v>2021</v>
      </c>
      <c r="G243" s="31">
        <v>49964</v>
      </c>
      <c r="H243" s="92">
        <v>0</v>
      </c>
      <c r="I243" s="31">
        <v>49964</v>
      </c>
      <c r="J243" s="126"/>
      <c r="K243" s="57">
        <v>2174</v>
      </c>
      <c r="L243" s="107">
        <v>49964</v>
      </c>
      <c r="M243" s="56">
        <f t="shared" si="25"/>
        <v>0</v>
      </c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 s="14" customFormat="1" ht="48.75" customHeight="1" x14ac:dyDescent="0.25">
      <c r="A244" s="303"/>
      <c r="B244" s="304"/>
      <c r="C244" s="303"/>
      <c r="D244" s="304"/>
      <c r="E244" s="97" t="s">
        <v>282</v>
      </c>
      <c r="F244" s="30">
        <v>2021</v>
      </c>
      <c r="G244" s="31">
        <v>20000</v>
      </c>
      <c r="H244" s="92">
        <v>0</v>
      </c>
      <c r="I244" s="31">
        <v>20000</v>
      </c>
      <c r="J244" s="126"/>
      <c r="K244" s="57">
        <v>2175</v>
      </c>
      <c r="L244" s="107">
        <v>20000</v>
      </c>
      <c r="M244" s="56">
        <f t="shared" si="25"/>
        <v>0</v>
      </c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 s="14" customFormat="1" ht="55.5" customHeight="1" x14ac:dyDescent="0.25">
      <c r="A245" s="303"/>
      <c r="B245" s="304"/>
      <c r="C245" s="303"/>
      <c r="D245" s="304"/>
      <c r="E245" s="97" t="s">
        <v>281</v>
      </c>
      <c r="F245" s="30">
        <v>2021</v>
      </c>
      <c r="G245" s="31">
        <v>35000</v>
      </c>
      <c r="H245" s="92">
        <v>0</v>
      </c>
      <c r="I245" s="31">
        <v>35000</v>
      </c>
      <c r="J245" s="126"/>
      <c r="K245" s="57">
        <v>2176</v>
      </c>
      <c r="L245" s="107">
        <v>35000</v>
      </c>
      <c r="M245" s="56">
        <f t="shared" si="25"/>
        <v>0</v>
      </c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 s="14" customFormat="1" ht="39" customHeight="1" x14ac:dyDescent="0.25">
      <c r="A246" s="303"/>
      <c r="B246" s="304"/>
      <c r="C246" s="303"/>
      <c r="D246" s="304"/>
      <c r="E246" s="97" t="s">
        <v>326</v>
      </c>
      <c r="F246" s="213">
        <v>2021</v>
      </c>
      <c r="G246" s="31">
        <v>48900</v>
      </c>
      <c r="H246" s="92">
        <v>0</v>
      </c>
      <c r="I246" s="31">
        <v>48900</v>
      </c>
      <c r="J246" s="32"/>
      <c r="K246" s="57">
        <v>2176</v>
      </c>
      <c r="L246" s="63">
        <v>48900</v>
      </c>
      <c r="M246" s="56">
        <f t="shared" si="25"/>
        <v>0</v>
      </c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 s="14" customFormat="1" ht="39" customHeight="1" x14ac:dyDescent="0.25">
      <c r="A247" s="303"/>
      <c r="B247" s="304"/>
      <c r="C247" s="303"/>
      <c r="D247" s="304"/>
      <c r="E247" s="103" t="s">
        <v>327</v>
      </c>
      <c r="F247" s="213">
        <v>2021</v>
      </c>
      <c r="G247" s="31">
        <v>797000</v>
      </c>
      <c r="H247" s="92">
        <v>0</v>
      </c>
      <c r="I247" s="31">
        <v>797000</v>
      </c>
      <c r="J247" s="126"/>
      <c r="K247" s="57">
        <v>2126</v>
      </c>
      <c r="L247" s="63">
        <v>237000</v>
      </c>
      <c r="M247" s="56">
        <f t="shared" si="25"/>
        <v>560000</v>
      </c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 s="14" customFormat="1" ht="18.75" customHeight="1" x14ac:dyDescent="0.25">
      <c r="A248" s="285" t="s">
        <v>141</v>
      </c>
      <c r="B248" s="286"/>
      <c r="C248" s="286"/>
      <c r="D248" s="286"/>
      <c r="E248" s="286"/>
      <c r="F248" s="286"/>
      <c r="G248" s="286"/>
      <c r="H248" s="286"/>
      <c r="I248" s="286"/>
      <c r="J248" s="287"/>
      <c r="K248" s="115"/>
      <c r="L248" s="116"/>
      <c r="M248" s="117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 s="14" customFormat="1" ht="48.75" customHeight="1" x14ac:dyDescent="0.25">
      <c r="A249" s="7" t="s">
        <v>54</v>
      </c>
      <c r="B249" s="37">
        <v>1200</v>
      </c>
      <c r="C249" s="7" t="s">
        <v>53</v>
      </c>
      <c r="D249" s="29" t="s">
        <v>62</v>
      </c>
      <c r="E249" s="15" t="s">
        <v>10</v>
      </c>
      <c r="F249" s="30">
        <v>2021</v>
      </c>
      <c r="G249" s="31">
        <v>0</v>
      </c>
      <c r="H249" s="92">
        <v>0</v>
      </c>
      <c r="I249" s="31">
        <v>640541</v>
      </c>
      <c r="J249" s="32"/>
      <c r="K249" s="57">
        <v>2043</v>
      </c>
      <c r="L249" s="63">
        <f>91500+94622+37600</f>
        <v>223722</v>
      </c>
      <c r="M249" s="56">
        <f>I249-L249</f>
        <v>416819</v>
      </c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 s="14" customFormat="1" ht="68.25" customHeight="1" x14ac:dyDescent="0.25">
      <c r="A250" s="232" t="s">
        <v>288</v>
      </c>
      <c r="B250" s="37">
        <v>1210</v>
      </c>
      <c r="C250" s="232" t="s">
        <v>53</v>
      </c>
      <c r="D250" s="235" t="s">
        <v>289</v>
      </c>
      <c r="E250" s="15" t="s">
        <v>10</v>
      </c>
      <c r="F250" s="231">
        <v>2021</v>
      </c>
      <c r="G250" s="31">
        <v>0</v>
      </c>
      <c r="H250" s="92">
        <v>0</v>
      </c>
      <c r="I250" s="31">
        <f>143381+238301+110257+158952</f>
        <v>650891</v>
      </c>
      <c r="J250" s="32"/>
      <c r="K250" s="57">
        <v>2043</v>
      </c>
      <c r="L250" s="63">
        <f>118963+134400+94990+33329+32285.38+52361+40000</f>
        <v>506328.38</v>
      </c>
      <c r="M250" s="56">
        <f>I250-L250</f>
        <v>144562.62</v>
      </c>
      <c r="N250" s="6" t="s">
        <v>354</v>
      </c>
      <c r="O250" s="6"/>
      <c r="P250" s="250">
        <f>I250-269209</f>
        <v>381682</v>
      </c>
      <c r="Q250" s="6" t="s">
        <v>353</v>
      </c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 s="14" customFormat="1" ht="45" customHeight="1" x14ac:dyDescent="0.25">
      <c r="A251" s="269" t="s">
        <v>64</v>
      </c>
      <c r="B251" s="278">
        <v>7368</v>
      </c>
      <c r="C251" s="269" t="s">
        <v>5</v>
      </c>
      <c r="D251" s="278" t="s">
        <v>65</v>
      </c>
      <c r="E251" s="15" t="s">
        <v>162</v>
      </c>
      <c r="F251" s="30" t="s">
        <v>180</v>
      </c>
      <c r="G251" s="31">
        <v>67620674</v>
      </c>
      <c r="H251" s="92">
        <v>0.3</v>
      </c>
      <c r="I251" s="31">
        <v>22754622</v>
      </c>
      <c r="J251" s="32"/>
      <c r="K251" s="57">
        <v>2044</v>
      </c>
      <c r="L251" s="63">
        <f>2000000+3232751.68+306242.8+3136947.48+0.5+3927219.77+1467744.48+613572.43+8070142.86</f>
        <v>22754622</v>
      </c>
      <c r="M251" s="56">
        <f>I251-L251</f>
        <v>0</v>
      </c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 s="14" customFormat="1" ht="45" customHeight="1" x14ac:dyDescent="0.25">
      <c r="A252" s="271"/>
      <c r="B252" s="280"/>
      <c r="C252" s="271"/>
      <c r="D252" s="280"/>
      <c r="E252" s="15" t="s">
        <v>318</v>
      </c>
      <c r="F252" s="30">
        <v>2021</v>
      </c>
      <c r="G252" s="31">
        <v>7500000</v>
      </c>
      <c r="H252" s="92">
        <v>0</v>
      </c>
      <c r="I252" s="31">
        <v>7500000</v>
      </c>
      <c r="J252" s="32"/>
      <c r="K252" s="57">
        <v>2180</v>
      </c>
      <c r="L252" s="63"/>
      <c r="M252" s="56">
        <f>I252-L252</f>
        <v>7500000</v>
      </c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 s="142" customFormat="1" ht="47.25" x14ac:dyDescent="0.2">
      <c r="A253" s="188" t="s">
        <v>213</v>
      </c>
      <c r="B253" s="44">
        <v>7363</v>
      </c>
      <c r="C253" s="183" t="s">
        <v>5</v>
      </c>
      <c r="D253" s="184" t="s">
        <v>56</v>
      </c>
      <c r="E253" s="15" t="s">
        <v>296</v>
      </c>
      <c r="F253" s="30">
        <v>2021</v>
      </c>
      <c r="G253" s="86">
        <v>3267358</v>
      </c>
      <c r="H253" s="141">
        <v>0</v>
      </c>
      <c r="I253" s="86">
        <v>1728000</v>
      </c>
      <c r="J253" s="193"/>
      <c r="K253" s="58">
        <v>2120</v>
      </c>
      <c r="L253" s="62">
        <f>870000+0.17+49580+808419.83</f>
        <v>1728000</v>
      </c>
      <c r="M253" s="106">
        <f t="shared" ref="M253:M263" si="29">I253-L253</f>
        <v>0</v>
      </c>
    </row>
    <row r="254" spans="1:52" s="142" customFormat="1" ht="31.5" x14ac:dyDescent="0.25">
      <c r="A254" s="296" t="s">
        <v>217</v>
      </c>
      <c r="B254" s="294">
        <v>1061</v>
      </c>
      <c r="C254" s="269" t="s">
        <v>218</v>
      </c>
      <c r="D254" s="278" t="s">
        <v>219</v>
      </c>
      <c r="E254" s="15" t="s">
        <v>216</v>
      </c>
      <c r="F254" s="30">
        <v>2021</v>
      </c>
      <c r="G254" s="86">
        <v>295000</v>
      </c>
      <c r="H254" s="141">
        <v>0</v>
      </c>
      <c r="I254" s="86">
        <v>295000</v>
      </c>
      <c r="J254" s="30"/>
      <c r="K254" s="143">
        <v>2122</v>
      </c>
      <c r="L254" s="107">
        <f>88408.84+206287.84</f>
        <v>294696.68</v>
      </c>
      <c r="M254" s="106">
        <f t="shared" si="29"/>
        <v>303.32000000000698</v>
      </c>
    </row>
    <row r="255" spans="1:52" s="142" customFormat="1" ht="31.5" x14ac:dyDescent="0.25">
      <c r="A255" s="297"/>
      <c r="B255" s="299"/>
      <c r="C255" s="270"/>
      <c r="D255" s="279"/>
      <c r="E255" s="15" t="s">
        <v>220</v>
      </c>
      <c r="F255" s="30">
        <v>2021</v>
      </c>
      <c r="G255" s="86">
        <v>250000</v>
      </c>
      <c r="H255" s="141">
        <v>0</v>
      </c>
      <c r="I255" s="86">
        <v>250000</v>
      </c>
      <c r="J255" s="30"/>
      <c r="K255" s="143">
        <v>2123</v>
      </c>
      <c r="L255" s="107">
        <f>71847.32+167644.47+5241.57+4958.02</f>
        <v>249691.38</v>
      </c>
      <c r="M255" s="106">
        <f t="shared" si="29"/>
        <v>308.61999999999534</v>
      </c>
    </row>
    <row r="256" spans="1:52" s="142" customFormat="1" ht="31.5" x14ac:dyDescent="0.25">
      <c r="A256" s="297"/>
      <c r="B256" s="299"/>
      <c r="C256" s="270"/>
      <c r="D256" s="279"/>
      <c r="E256" s="15" t="s">
        <v>221</v>
      </c>
      <c r="F256" s="30">
        <v>2021</v>
      </c>
      <c r="G256" s="86">
        <v>419000</v>
      </c>
      <c r="H256" s="141">
        <v>0</v>
      </c>
      <c r="I256" s="86">
        <v>419000</v>
      </c>
      <c r="J256" s="30"/>
      <c r="K256" s="143">
        <v>2124</v>
      </c>
      <c r="L256" s="107">
        <f>5700+123510.24+289789.76</f>
        <v>419000</v>
      </c>
      <c r="M256" s="106">
        <f t="shared" si="29"/>
        <v>0</v>
      </c>
    </row>
    <row r="257" spans="1:52" s="142" customFormat="1" ht="31.5" x14ac:dyDescent="0.25">
      <c r="A257" s="297"/>
      <c r="B257" s="299"/>
      <c r="C257" s="270"/>
      <c r="D257" s="279"/>
      <c r="E257" s="15" t="s">
        <v>222</v>
      </c>
      <c r="F257" s="30">
        <v>2021</v>
      </c>
      <c r="G257" s="86">
        <v>342000</v>
      </c>
      <c r="H257" s="141">
        <v>0</v>
      </c>
      <c r="I257" s="86">
        <v>342000</v>
      </c>
      <c r="J257" s="30"/>
      <c r="K257" s="143">
        <v>2125</v>
      </c>
      <c r="L257" s="107">
        <f>5400+100523.17+236076.83</f>
        <v>342000</v>
      </c>
      <c r="M257" s="106">
        <f t="shared" si="29"/>
        <v>0</v>
      </c>
    </row>
    <row r="258" spans="1:52" s="142" customFormat="1" ht="31.5" x14ac:dyDescent="0.25">
      <c r="A258" s="297"/>
      <c r="B258" s="299"/>
      <c r="C258" s="270"/>
      <c r="D258" s="279"/>
      <c r="E258" s="15" t="s">
        <v>223</v>
      </c>
      <c r="F258" s="230">
        <v>2021</v>
      </c>
      <c r="G258" s="86">
        <f>I258</f>
        <v>550040</v>
      </c>
      <c r="H258" s="141">
        <v>0</v>
      </c>
      <c r="I258" s="86">
        <f>260000+290040</f>
        <v>550040</v>
      </c>
      <c r="J258" s="230"/>
      <c r="K258" s="143">
        <v>2126</v>
      </c>
      <c r="L258" s="63">
        <f>77995.76+181990.72+255353.99</f>
        <v>515340.47</v>
      </c>
      <c r="M258" s="106">
        <f t="shared" si="29"/>
        <v>34699.530000000028</v>
      </c>
    </row>
    <row r="259" spans="1:52" s="142" customFormat="1" ht="31.5" x14ac:dyDescent="0.25">
      <c r="A259" s="297"/>
      <c r="B259" s="299"/>
      <c r="C259" s="270"/>
      <c r="D259" s="279"/>
      <c r="E259" s="15" t="s">
        <v>224</v>
      </c>
      <c r="F259" s="30">
        <v>2021</v>
      </c>
      <c r="G259" s="86">
        <v>840000</v>
      </c>
      <c r="H259" s="141">
        <v>0</v>
      </c>
      <c r="I259" s="86">
        <v>840000</v>
      </c>
      <c r="J259" s="193"/>
      <c r="K259" s="143">
        <v>2127</v>
      </c>
      <c r="L259" s="63">
        <f>251731.81+587375.21</f>
        <v>839107.02</v>
      </c>
      <c r="M259" s="106">
        <f t="shared" si="29"/>
        <v>892.97999999998137</v>
      </c>
    </row>
    <row r="260" spans="1:52" s="142" customFormat="1" ht="18.75" x14ac:dyDescent="0.25">
      <c r="A260" s="298"/>
      <c r="B260" s="295"/>
      <c r="C260" s="271"/>
      <c r="D260" s="280"/>
      <c r="E260" s="15" t="s">
        <v>90</v>
      </c>
      <c r="F260" s="30">
        <v>2021</v>
      </c>
      <c r="G260" s="86">
        <v>0</v>
      </c>
      <c r="H260" s="141">
        <v>0</v>
      </c>
      <c r="I260" s="86">
        <v>683265</v>
      </c>
      <c r="J260" s="30"/>
      <c r="K260" s="143">
        <v>2160</v>
      </c>
      <c r="L260" s="197">
        <f>33330+16665+99990+49998+99987+66660+133320+116655</f>
        <v>616605</v>
      </c>
      <c r="M260" s="106">
        <f t="shared" si="29"/>
        <v>66660</v>
      </c>
      <c r="N260" s="142">
        <f>116655-83325</f>
        <v>33330</v>
      </c>
    </row>
    <row r="261" spans="1:52" s="14" customFormat="1" ht="63" x14ac:dyDescent="0.25">
      <c r="A261" s="125" t="s">
        <v>255</v>
      </c>
      <c r="B261" s="124">
        <v>1182</v>
      </c>
      <c r="C261" s="132" t="s">
        <v>53</v>
      </c>
      <c r="D261" s="123" t="s">
        <v>256</v>
      </c>
      <c r="E261" s="15" t="s">
        <v>90</v>
      </c>
      <c r="F261" s="30">
        <v>2021</v>
      </c>
      <c r="G261" s="31">
        <v>0</v>
      </c>
      <c r="H261" s="92">
        <v>0</v>
      </c>
      <c r="I261" s="31">
        <v>546962</v>
      </c>
      <c r="J261" s="32"/>
      <c r="K261" s="73">
        <v>2153</v>
      </c>
      <c r="L261" s="63">
        <f>182312.28+6300+62698+262234.96+12750+300+19798</f>
        <v>546393.24</v>
      </c>
      <c r="M261" s="56">
        <f t="shared" si="29"/>
        <v>568.76000000000931</v>
      </c>
    </row>
    <row r="262" spans="1:52" ht="31.5" x14ac:dyDescent="0.25">
      <c r="A262" s="80" t="s">
        <v>171</v>
      </c>
      <c r="B262" s="34"/>
      <c r="C262" s="34"/>
      <c r="D262" s="35" t="s">
        <v>143</v>
      </c>
      <c r="E262" s="36"/>
      <c r="F262" s="43" t="s">
        <v>7</v>
      </c>
      <c r="G262" s="83" t="s">
        <v>7</v>
      </c>
      <c r="H262" s="83" t="s">
        <v>7</v>
      </c>
      <c r="I262" s="83">
        <f>I263+I264+I266+I267</f>
        <v>9224227.4000000004</v>
      </c>
      <c r="J262" s="89" t="s">
        <v>7</v>
      </c>
      <c r="K262" s="102"/>
      <c r="L262" s="192"/>
      <c r="M262" s="100">
        <f t="shared" si="29"/>
        <v>9224227.4000000004</v>
      </c>
    </row>
    <row r="263" spans="1:52" s="14" customFormat="1" ht="47.25" x14ac:dyDescent="0.25">
      <c r="A263" s="74" t="s">
        <v>144</v>
      </c>
      <c r="B263" s="44">
        <v>7323</v>
      </c>
      <c r="C263" s="133" t="s">
        <v>24</v>
      </c>
      <c r="D263" s="75" t="s">
        <v>145</v>
      </c>
      <c r="E263" s="33" t="s">
        <v>158</v>
      </c>
      <c r="F263" s="30">
        <v>2021</v>
      </c>
      <c r="G263" s="86">
        <f>I263</f>
        <v>49950</v>
      </c>
      <c r="H263" s="92">
        <v>0</v>
      </c>
      <c r="I263" s="86">
        <v>49950</v>
      </c>
      <c r="J263" s="32"/>
      <c r="K263" s="57">
        <v>2107</v>
      </c>
      <c r="L263" s="107">
        <v>49950</v>
      </c>
      <c r="M263" s="56">
        <f t="shared" si="29"/>
        <v>0</v>
      </c>
    </row>
    <row r="264" spans="1:52" s="142" customFormat="1" ht="45" customHeight="1" x14ac:dyDescent="0.25">
      <c r="A264" s="232" t="s">
        <v>357</v>
      </c>
      <c r="B264" s="44" t="s">
        <v>67</v>
      </c>
      <c r="C264" s="238" t="s">
        <v>16</v>
      </c>
      <c r="D264" s="237" t="s">
        <v>69</v>
      </c>
      <c r="E264" s="33" t="s">
        <v>90</v>
      </c>
      <c r="F264" s="231">
        <v>2021</v>
      </c>
      <c r="G264" s="86">
        <v>0</v>
      </c>
      <c r="H264" s="141">
        <v>0</v>
      </c>
      <c r="I264" s="86">
        <v>12500</v>
      </c>
      <c r="J264" s="231"/>
      <c r="K264" s="58">
        <v>2219</v>
      </c>
      <c r="L264" s="107">
        <v>0</v>
      </c>
      <c r="M264" s="106">
        <f>I264-L264</f>
        <v>12500</v>
      </c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 s="14" customFormat="1" ht="18.75" customHeight="1" x14ac:dyDescent="0.25">
      <c r="A265" s="285" t="s">
        <v>141</v>
      </c>
      <c r="B265" s="286"/>
      <c r="C265" s="286"/>
      <c r="D265" s="286"/>
      <c r="E265" s="286"/>
      <c r="F265" s="286"/>
      <c r="G265" s="286"/>
      <c r="H265" s="286"/>
      <c r="I265" s="286"/>
      <c r="J265" s="287"/>
      <c r="K265" s="115"/>
      <c r="L265" s="164"/>
      <c r="M265" s="117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 s="142" customFormat="1" ht="47.25" x14ac:dyDescent="0.2">
      <c r="A266" s="135" t="s">
        <v>214</v>
      </c>
      <c r="B266" s="44">
        <v>7363</v>
      </c>
      <c r="C266" s="138" t="s">
        <v>5</v>
      </c>
      <c r="D266" s="134" t="s">
        <v>56</v>
      </c>
      <c r="E266" s="15" t="s">
        <v>215</v>
      </c>
      <c r="F266" s="30">
        <v>2021</v>
      </c>
      <c r="G266" s="86">
        <v>9297776</v>
      </c>
      <c r="H266" s="141">
        <v>0</v>
      </c>
      <c r="I266" s="86">
        <v>8532000</v>
      </c>
      <c r="J266" s="30"/>
      <c r="K266" s="58">
        <v>2121</v>
      </c>
      <c r="L266" s="62">
        <f>2430904+35129.09</f>
        <v>2466033.09</v>
      </c>
      <c r="M266" s="106">
        <f>I266-L266</f>
        <v>6065966.9100000001</v>
      </c>
    </row>
    <row r="267" spans="1:52" s="142" customFormat="1" ht="84.75" customHeight="1" x14ac:dyDescent="0.2">
      <c r="A267" s="214" t="s">
        <v>325</v>
      </c>
      <c r="B267" s="44">
        <v>6083</v>
      </c>
      <c r="C267" s="211" t="s">
        <v>32</v>
      </c>
      <c r="D267" s="212" t="s">
        <v>323</v>
      </c>
      <c r="E267" s="15" t="s">
        <v>324</v>
      </c>
      <c r="F267" s="213">
        <v>2021</v>
      </c>
      <c r="G267" s="86">
        <v>629777.4</v>
      </c>
      <c r="H267" s="141">
        <v>0</v>
      </c>
      <c r="I267" s="86">
        <v>629777.4</v>
      </c>
      <c r="J267" s="213"/>
      <c r="K267" s="58">
        <v>2198</v>
      </c>
      <c r="L267" s="106"/>
      <c r="M267" s="106"/>
    </row>
    <row r="268" spans="1:52" s="5" customFormat="1" ht="31.5" x14ac:dyDescent="0.25">
      <c r="A268" s="79">
        <v>1000000</v>
      </c>
      <c r="B268" s="34"/>
      <c r="C268" s="34"/>
      <c r="D268" s="35" t="s">
        <v>71</v>
      </c>
      <c r="E268" s="36"/>
      <c r="F268" s="43" t="s">
        <v>7</v>
      </c>
      <c r="G268" s="83" t="s">
        <v>7</v>
      </c>
      <c r="H268" s="83" t="s">
        <v>7</v>
      </c>
      <c r="I268" s="83">
        <f>SUM(I269:I272)</f>
        <v>369065</v>
      </c>
      <c r="J268" s="89" t="s">
        <v>7</v>
      </c>
      <c r="K268" s="112"/>
      <c r="L268" s="159"/>
      <c r="M268" s="114"/>
    </row>
    <row r="269" spans="1:52" s="14" customFormat="1" ht="31.5" x14ac:dyDescent="0.25">
      <c r="A269" s="269" t="s">
        <v>87</v>
      </c>
      <c r="B269" s="294">
        <v>4060</v>
      </c>
      <c r="C269" s="294" t="s">
        <v>89</v>
      </c>
      <c r="D269" s="278" t="s">
        <v>88</v>
      </c>
      <c r="E269" s="33" t="s">
        <v>91</v>
      </c>
      <c r="F269" s="30">
        <v>2021</v>
      </c>
      <c r="G269" s="86">
        <f>I269</f>
        <v>184750</v>
      </c>
      <c r="H269" s="92">
        <v>0</v>
      </c>
      <c r="I269" s="86">
        <v>184750</v>
      </c>
      <c r="J269" s="32"/>
      <c r="K269" s="57">
        <v>2054</v>
      </c>
      <c r="L269" s="106">
        <v>119499</v>
      </c>
      <c r="M269" s="56">
        <f t="shared" ref="M269:M275" si="30">I269-L269</f>
        <v>65251</v>
      </c>
    </row>
    <row r="270" spans="1:52" s="14" customFormat="1" ht="31.5" x14ac:dyDescent="0.25">
      <c r="A270" s="271"/>
      <c r="B270" s="295"/>
      <c r="C270" s="295"/>
      <c r="D270" s="280"/>
      <c r="E270" s="33" t="s">
        <v>155</v>
      </c>
      <c r="F270" s="30">
        <v>2021</v>
      </c>
      <c r="G270" s="86">
        <f>I270</f>
        <v>49356</v>
      </c>
      <c r="H270" s="92">
        <v>0</v>
      </c>
      <c r="I270" s="86">
        <v>49356</v>
      </c>
      <c r="J270" s="32"/>
      <c r="K270" s="73">
        <v>2111</v>
      </c>
      <c r="L270" s="106"/>
      <c r="M270" s="56">
        <f t="shared" si="30"/>
        <v>49356</v>
      </c>
    </row>
    <row r="271" spans="1:52" s="14" customFormat="1" ht="18.75" x14ac:dyDescent="0.25">
      <c r="A271" s="93" t="s">
        <v>201</v>
      </c>
      <c r="B271" s="94">
        <v>4030</v>
      </c>
      <c r="C271" s="94" t="s">
        <v>203</v>
      </c>
      <c r="D271" s="95" t="s">
        <v>202</v>
      </c>
      <c r="E271" s="33" t="s">
        <v>10</v>
      </c>
      <c r="F271" s="30">
        <v>2021</v>
      </c>
      <c r="G271" s="86">
        <v>0</v>
      </c>
      <c r="H271" s="92">
        <v>0</v>
      </c>
      <c r="I271" s="86">
        <v>79989</v>
      </c>
      <c r="J271" s="32"/>
      <c r="K271" s="73">
        <v>2119</v>
      </c>
      <c r="L271" s="106">
        <v>64999</v>
      </c>
      <c r="M271" s="56">
        <f t="shared" si="30"/>
        <v>14990</v>
      </c>
    </row>
    <row r="272" spans="1:52" s="142" customFormat="1" ht="35.25" customHeight="1" x14ac:dyDescent="0.25">
      <c r="A272" s="233" t="s">
        <v>68</v>
      </c>
      <c r="B272" s="236" t="s">
        <v>67</v>
      </c>
      <c r="C272" s="236" t="s">
        <v>16</v>
      </c>
      <c r="D272" s="235" t="s">
        <v>69</v>
      </c>
      <c r="E272" s="33" t="s">
        <v>10</v>
      </c>
      <c r="F272" s="231">
        <v>2021</v>
      </c>
      <c r="G272" s="86">
        <v>0</v>
      </c>
      <c r="H272" s="91">
        <v>0</v>
      </c>
      <c r="I272" s="86">
        <v>54970</v>
      </c>
      <c r="J272" s="231"/>
      <c r="K272" s="58">
        <v>2119</v>
      </c>
      <c r="L272" s="106">
        <v>0</v>
      </c>
      <c r="M272" s="106">
        <f>I272-L272</f>
        <v>54970</v>
      </c>
    </row>
    <row r="273" spans="1:52" ht="15.75" x14ac:dyDescent="0.25">
      <c r="A273" s="79">
        <v>1100000</v>
      </c>
      <c r="B273" s="34"/>
      <c r="C273" s="34"/>
      <c r="D273" s="35" t="s">
        <v>82</v>
      </c>
      <c r="E273" s="36"/>
      <c r="F273" s="43" t="s">
        <v>7</v>
      </c>
      <c r="G273" s="83" t="s">
        <v>7</v>
      </c>
      <c r="H273" s="83" t="s">
        <v>7</v>
      </c>
      <c r="I273" s="83">
        <f>SUM(I274:I275)</f>
        <v>76400</v>
      </c>
      <c r="J273" s="89" t="s">
        <v>7</v>
      </c>
      <c r="K273" s="69"/>
      <c r="L273" s="110"/>
      <c r="M273" s="56">
        <f t="shared" si="30"/>
        <v>76400</v>
      </c>
    </row>
    <row r="274" spans="1:52" s="14" customFormat="1" ht="31.5" x14ac:dyDescent="0.2">
      <c r="A274" s="74" t="s">
        <v>146</v>
      </c>
      <c r="B274" s="44" t="s">
        <v>67</v>
      </c>
      <c r="C274" s="229" t="s">
        <v>16</v>
      </c>
      <c r="D274" s="75" t="s">
        <v>69</v>
      </c>
      <c r="E274" s="15" t="s">
        <v>10</v>
      </c>
      <c r="F274" s="30">
        <v>2021</v>
      </c>
      <c r="G274" s="86">
        <v>0</v>
      </c>
      <c r="H274" s="92">
        <v>0</v>
      </c>
      <c r="I274" s="86">
        <v>18000</v>
      </c>
      <c r="J274" s="32"/>
      <c r="K274" s="57">
        <v>2108</v>
      </c>
      <c r="L274" s="106">
        <v>18000</v>
      </c>
      <c r="M274" s="56">
        <f t="shared" si="30"/>
        <v>0</v>
      </c>
      <c r="N274" s="14" t="s">
        <v>251</v>
      </c>
    </row>
    <row r="275" spans="1:52" s="14" customFormat="1" ht="18.75" x14ac:dyDescent="0.2">
      <c r="A275" s="127" t="s">
        <v>83</v>
      </c>
      <c r="B275" s="128">
        <v>5041</v>
      </c>
      <c r="C275" s="52" t="s">
        <v>85</v>
      </c>
      <c r="D275" s="53" t="s">
        <v>84</v>
      </c>
      <c r="E275" s="15" t="s">
        <v>10</v>
      </c>
      <c r="F275" s="30">
        <v>2021</v>
      </c>
      <c r="G275" s="31">
        <v>0</v>
      </c>
      <c r="H275" s="92">
        <v>0</v>
      </c>
      <c r="I275" s="31">
        <f>18000+40400</f>
        <v>58400</v>
      </c>
      <c r="J275" s="32"/>
      <c r="K275" s="57">
        <v>2109</v>
      </c>
      <c r="L275" s="106">
        <f>18000+40400</f>
        <v>58400</v>
      </c>
      <c r="M275" s="56">
        <f t="shared" si="30"/>
        <v>0</v>
      </c>
      <c r="N275" s="14" t="s">
        <v>251</v>
      </c>
    </row>
    <row r="276" spans="1:52" s="5" customFormat="1" ht="18.75" x14ac:dyDescent="0.25">
      <c r="A276" s="79">
        <v>3700000</v>
      </c>
      <c r="B276" s="45"/>
      <c r="C276" s="34"/>
      <c r="D276" s="35" t="s">
        <v>86</v>
      </c>
      <c r="E276" s="36"/>
      <c r="F276" s="43" t="s">
        <v>7</v>
      </c>
      <c r="G276" s="83" t="s">
        <v>7</v>
      </c>
      <c r="H276" s="83" t="s">
        <v>7</v>
      </c>
      <c r="I276" s="83">
        <f>I277</f>
        <v>121500</v>
      </c>
      <c r="J276" s="89" t="s">
        <v>7</v>
      </c>
      <c r="K276" s="112"/>
      <c r="L276" s="113"/>
      <c r="M276" s="114"/>
    </row>
    <row r="277" spans="1:52" s="142" customFormat="1" ht="45" customHeight="1" x14ac:dyDescent="0.25">
      <c r="A277" s="232" t="s">
        <v>358</v>
      </c>
      <c r="B277" s="44" t="s">
        <v>67</v>
      </c>
      <c r="C277" s="238" t="s">
        <v>16</v>
      </c>
      <c r="D277" s="237" t="s">
        <v>69</v>
      </c>
      <c r="E277" s="33" t="s">
        <v>90</v>
      </c>
      <c r="F277" s="231">
        <v>2021</v>
      </c>
      <c r="G277" s="86">
        <v>0</v>
      </c>
      <c r="H277" s="141">
        <v>0</v>
      </c>
      <c r="I277" s="86">
        <f>49000+50000+35000-12500</f>
        <v>121500</v>
      </c>
      <c r="J277" s="231"/>
      <c r="K277" s="58">
        <v>2053</v>
      </c>
      <c r="L277" s="107">
        <f>87498+11460+18800</f>
        <v>117758</v>
      </c>
      <c r="M277" s="106">
        <f>I277-L277</f>
        <v>3742</v>
      </c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 ht="20.25" x14ac:dyDescent="0.3">
      <c r="A278" s="3" t="s">
        <v>2</v>
      </c>
      <c r="B278" s="3" t="s">
        <v>2</v>
      </c>
      <c r="C278" s="3" t="s">
        <v>2</v>
      </c>
      <c r="D278" s="47" t="s">
        <v>21</v>
      </c>
      <c r="E278" s="3" t="s">
        <v>2</v>
      </c>
      <c r="F278" s="3" t="s">
        <v>2</v>
      </c>
      <c r="G278" s="3" t="s">
        <v>2</v>
      </c>
      <c r="H278" s="3" t="s">
        <v>2</v>
      </c>
      <c r="I278" s="87">
        <f>I107+I7</f>
        <v>505640340.11000001</v>
      </c>
      <c r="J278" s="3" t="s">
        <v>2</v>
      </c>
      <c r="K278" s="69"/>
      <c r="L278" s="70"/>
      <c r="M278" s="69"/>
    </row>
    <row r="279" spans="1:52" x14ac:dyDescent="0.2">
      <c r="B279" s="21"/>
      <c r="C279" s="21"/>
      <c r="D279" s="21"/>
      <c r="E279" s="21"/>
      <c r="F279" s="21"/>
      <c r="G279" s="21"/>
      <c r="H279" s="21"/>
      <c r="I279" s="22"/>
      <c r="J279" s="21"/>
      <c r="M279" s="140"/>
    </row>
    <row r="280" spans="1:52" ht="18.75" x14ac:dyDescent="0.3">
      <c r="B280" s="21"/>
      <c r="C280" s="353" t="s">
        <v>73</v>
      </c>
      <c r="D280" s="353"/>
      <c r="E280" s="353"/>
      <c r="F280" s="353"/>
      <c r="G280" s="353"/>
      <c r="H280" s="77"/>
      <c r="I280" s="22"/>
      <c r="J280" s="21"/>
    </row>
    <row r="281" spans="1:52" x14ac:dyDescent="0.2">
      <c r="B281" s="21"/>
      <c r="C281" s="21"/>
      <c r="D281" s="21"/>
      <c r="E281" s="21"/>
      <c r="F281" s="21"/>
      <c r="G281" s="21"/>
      <c r="H281" s="21"/>
      <c r="I281" s="22"/>
      <c r="J281" s="21"/>
    </row>
    <row r="282" spans="1:52" x14ac:dyDescent="0.2">
      <c r="B282" s="21"/>
      <c r="C282" s="21"/>
      <c r="D282" s="21"/>
      <c r="E282" s="21"/>
      <c r="F282" s="21"/>
      <c r="G282" s="24"/>
      <c r="H282" s="24"/>
      <c r="I282" s="23"/>
      <c r="J282" s="21"/>
    </row>
    <row r="283" spans="1:52" ht="20.25" x14ac:dyDescent="0.3">
      <c r="B283" s="21"/>
      <c r="C283" s="21"/>
      <c r="D283" s="21"/>
      <c r="E283" s="25"/>
      <c r="F283" s="26"/>
      <c r="G283" s="27"/>
      <c r="H283" s="27"/>
      <c r="I283" s="28"/>
      <c r="J283" s="26"/>
    </row>
    <row r="284" spans="1:52" x14ac:dyDescent="0.2">
      <c r="E284" s="14"/>
      <c r="F284" s="14"/>
      <c r="G284" s="14"/>
      <c r="H284" s="14"/>
      <c r="I284" s="19"/>
      <c r="J284" s="14"/>
    </row>
    <row r="285" spans="1:52" x14ac:dyDescent="0.2">
      <c r="E285" s="14"/>
      <c r="F285" s="14"/>
      <c r="G285" s="20"/>
      <c r="H285" s="20"/>
      <c r="I285" s="19"/>
      <c r="J285" s="14"/>
    </row>
    <row r="286" spans="1:52" ht="18.75" x14ac:dyDescent="0.3">
      <c r="C286" s="284"/>
      <c r="D286" s="284"/>
      <c r="E286" s="284"/>
      <c r="F286" s="284"/>
      <c r="G286" s="284"/>
      <c r="H286" s="76"/>
      <c r="I286" s="19"/>
      <c r="J286" s="14"/>
    </row>
  </sheetData>
  <autoFilter ref="A8:AZ280"/>
  <mergeCells count="136">
    <mergeCell ref="A58:C58"/>
    <mergeCell ref="A91:J91"/>
    <mergeCell ref="A92:A95"/>
    <mergeCell ref="B92:B95"/>
    <mergeCell ref="A67:A90"/>
    <mergeCell ref="B67:B90"/>
    <mergeCell ref="C67:C90"/>
    <mergeCell ref="B44:B46"/>
    <mergeCell ref="C44:C46"/>
    <mergeCell ref="D44:D46"/>
    <mergeCell ref="A50:C50"/>
    <mergeCell ref="K105:M105"/>
    <mergeCell ref="C92:C95"/>
    <mergeCell ref="D92:D95"/>
    <mergeCell ref="A61:C61"/>
    <mergeCell ref="A63:C63"/>
    <mergeCell ref="A101:A102"/>
    <mergeCell ref="B101:B102"/>
    <mergeCell ref="C101:C102"/>
    <mergeCell ref="D101:D102"/>
    <mergeCell ref="D51:D57"/>
    <mergeCell ref="A51:A57"/>
    <mergeCell ref="B51:B57"/>
    <mergeCell ref="C51:C57"/>
    <mergeCell ref="A44:A46"/>
    <mergeCell ref="A47:A49"/>
    <mergeCell ref="B47:B49"/>
    <mergeCell ref="C47:C49"/>
    <mergeCell ref="D47:D49"/>
    <mergeCell ref="D67:D90"/>
    <mergeCell ref="A107:E107"/>
    <mergeCell ref="C129:C132"/>
    <mergeCell ref="A111:A114"/>
    <mergeCell ref="D111:D114"/>
    <mergeCell ref="D123:J123"/>
    <mergeCell ref="B129:B132"/>
    <mergeCell ref="B139:B140"/>
    <mergeCell ref="B111:B114"/>
    <mergeCell ref="C111:C114"/>
    <mergeCell ref="A125:A127"/>
    <mergeCell ref="B125:B127"/>
    <mergeCell ref="C125:C127"/>
    <mergeCell ref="D125:D127"/>
    <mergeCell ref="K206:M206"/>
    <mergeCell ref="A128:C128"/>
    <mergeCell ref="C116:C117"/>
    <mergeCell ref="B116:B117"/>
    <mergeCell ref="D116:D117"/>
    <mergeCell ref="F116:F117"/>
    <mergeCell ref="G116:G117"/>
    <mergeCell ref="H116:H117"/>
    <mergeCell ref="E116:E117"/>
    <mergeCell ref="A116:A117"/>
    <mergeCell ref="D139:D140"/>
    <mergeCell ref="A136:C136"/>
    <mergeCell ref="A138:C138"/>
    <mergeCell ref="C139:C140"/>
    <mergeCell ref="A129:A132"/>
    <mergeCell ref="D172:D173"/>
    <mergeCell ref="A197:A201"/>
    <mergeCell ref="B197:B201"/>
    <mergeCell ref="C197:C201"/>
    <mergeCell ref="D197:D201"/>
    <mergeCell ref="G1:J1"/>
    <mergeCell ref="A4:J4"/>
    <mergeCell ref="A3:J3"/>
    <mergeCell ref="D31:D32"/>
    <mergeCell ref="A7:E7"/>
    <mergeCell ref="A33:C33"/>
    <mergeCell ref="A31:A32"/>
    <mergeCell ref="B31:B32"/>
    <mergeCell ref="C31:C32"/>
    <mergeCell ref="A30:C30"/>
    <mergeCell ref="G2:J2"/>
    <mergeCell ref="A21:A28"/>
    <mergeCell ref="A18:A19"/>
    <mergeCell ref="B18:B19"/>
    <mergeCell ref="C18:C19"/>
    <mergeCell ref="D18:D19"/>
    <mergeCell ref="C21:C28"/>
    <mergeCell ref="D21:D28"/>
    <mergeCell ref="A13:A16"/>
    <mergeCell ref="B13:B16"/>
    <mergeCell ref="C13:C16"/>
    <mergeCell ref="D13:D16"/>
    <mergeCell ref="B21:B28"/>
    <mergeCell ref="D129:D132"/>
    <mergeCell ref="A139:A140"/>
    <mergeCell ref="D222:D247"/>
    <mergeCell ref="A207:A215"/>
    <mergeCell ref="B207:B215"/>
    <mergeCell ref="C207:C215"/>
    <mergeCell ref="D207:D215"/>
    <mergeCell ref="A174:A196"/>
    <mergeCell ref="B174:B196"/>
    <mergeCell ref="C174:C196"/>
    <mergeCell ref="D174:D196"/>
    <mergeCell ref="D134:J134"/>
    <mergeCell ref="D202:J202"/>
    <mergeCell ref="A203:A205"/>
    <mergeCell ref="B203:B205"/>
    <mergeCell ref="C203:C205"/>
    <mergeCell ref="D203:D205"/>
    <mergeCell ref="D254:D260"/>
    <mergeCell ref="B251:B252"/>
    <mergeCell ref="C251:C252"/>
    <mergeCell ref="D251:D252"/>
    <mergeCell ref="A251:A252"/>
    <mergeCell ref="D216:J216"/>
    <mergeCell ref="A222:A247"/>
    <mergeCell ref="B222:B247"/>
    <mergeCell ref="C222:C247"/>
    <mergeCell ref="A34:A43"/>
    <mergeCell ref="B34:B43"/>
    <mergeCell ref="C34:C43"/>
    <mergeCell ref="D34:D43"/>
    <mergeCell ref="A143:A171"/>
    <mergeCell ref="B143:B171"/>
    <mergeCell ref="C143:C171"/>
    <mergeCell ref="D143:D171"/>
    <mergeCell ref="C286:G286"/>
    <mergeCell ref="C280:G280"/>
    <mergeCell ref="A248:J248"/>
    <mergeCell ref="A172:A173"/>
    <mergeCell ref="B172:B173"/>
    <mergeCell ref="C172:C173"/>
    <mergeCell ref="A218:C218"/>
    <mergeCell ref="A206:C206"/>
    <mergeCell ref="A269:A270"/>
    <mergeCell ref="B269:B270"/>
    <mergeCell ref="C269:C270"/>
    <mergeCell ref="D269:D270"/>
    <mergeCell ref="A265:J265"/>
    <mergeCell ref="A254:A260"/>
    <mergeCell ref="B254:B260"/>
    <mergeCell ref="C254:C260"/>
  </mergeCells>
  <phoneticPr fontId="8" type="noConversion"/>
  <pageMargins left="0" right="0" top="0" bottom="0" header="0.31496062992125984" footer="0"/>
  <pageSetup paperSize="9" scale="50" orientation="landscape" r:id="rId1"/>
  <rowBreaks count="7" manualBreakCount="7">
    <brk id="26" max="9" man="1"/>
    <brk id="57" max="9" man="1"/>
    <brk id="83" max="9" man="1"/>
    <brk id="106" max="9" man="1"/>
    <brk id="130" max="9" man="1"/>
    <brk id="153" max="9" man="1"/>
    <brk id="18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2021-12-08T08:45:12Z</cp:lastPrinted>
  <dcterms:created xsi:type="dcterms:W3CDTF">2019-11-12T13:23:27Z</dcterms:created>
  <dcterms:modified xsi:type="dcterms:W3CDTF">2021-12-08T08:49:32Z</dcterms:modified>
</cp:coreProperties>
</file>